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vGceOUvi3A/qgSKSL6z02X0AXa9Fb25T16c/2oSBaE7k5qC349r8WZMNxlLYh+ClfB//RT1Hcs7ew5lYwXbsFA==" workbookSaltValue="57XtAdgAsOLmd1B8/SSK4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7" i="16"/>
  <c r="BF17" i="11"/>
  <c r="W13" i="20"/>
  <c r="AT17" i="20"/>
  <c r="BK15" i="11"/>
  <c r="V9" i="11"/>
  <c r="BG9" i="11"/>
  <c r="AP17" i="20"/>
  <c r="BV16" i="16"/>
  <c r="BU9" i="17"/>
  <c r="T13" i="16"/>
  <c r="BH10" i="11"/>
  <c r="AQ10" i="21"/>
  <c r="BK16" i="11"/>
  <c r="BG16" i="11"/>
  <c r="AQ12" i="21"/>
  <c r="BL16" i="11"/>
  <c r="AL20" i="20"/>
  <c r="E20" i="20"/>
  <c r="AC20" i="20"/>
  <c r="BD9" i="8" l="1"/>
  <c r="H17" i="2"/>
  <c r="BJ16" i="11"/>
  <c r="BH16" i="11"/>
  <c r="BH11" i="11"/>
  <c r="BJ10" i="11"/>
  <c r="BI9" i="11"/>
  <c r="S15" i="16"/>
  <c r="BU16" i="17"/>
  <c r="BV15" i="16"/>
  <c r="BW9" i="20"/>
  <c r="BH17" i="11"/>
  <c r="R10" i="21"/>
  <c r="R13" i="21" s="1"/>
  <c r="BI10" i="11"/>
  <c r="S17" i="16"/>
  <c r="BM16" i="11"/>
  <c r="BH11" i="16"/>
  <c r="BG15" i="8"/>
  <c r="B12" i="6"/>
  <c r="BK10" i="11"/>
  <c r="BH12" i="16"/>
  <c r="BM9" i="11"/>
  <c r="BF15" i="11"/>
  <c r="BM17" i="11"/>
  <c r="Q15" i="17"/>
  <c r="BH10" i="16"/>
  <c r="BL10" i="11"/>
  <c r="BL15" i="11"/>
  <c r="BF12" i="11"/>
  <c r="P15" i="17"/>
  <c r="AZ16" i="11"/>
  <c r="BV9" i="16"/>
  <c r="BW10" i="20"/>
  <c r="BW15" i="20"/>
  <c r="BW16" i="20"/>
  <c r="BW17" i="20"/>
  <c r="BU15" i="17"/>
  <c r="BM15" i="11"/>
  <c r="BL11" i="11"/>
  <c r="BI17" i="11"/>
  <c r="BJ11" i="11"/>
  <c r="Q10" i="21"/>
  <c r="V11" i="11"/>
  <c r="BL12" i="11"/>
  <c r="BF16" i="11"/>
  <c r="P17" i="17"/>
  <c r="BG10" i="11"/>
  <c r="BL9" i="11"/>
  <c r="BF11"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<sst xmlns="http://schemas.openxmlformats.org/spreadsheetml/2006/main" count="2066" uniqueCount="904">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</sst>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902</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pp0kH40dBnsDWv/mYpURzlZk6DCGtGvThPwACJdmUT8sjg50oOyQQCIds7zTwM/BrDUtpgpSBY2s47eOM38+A==" saltValue="DlQM4ChNtxqWUUYrhn+Y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46.412698412698418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92</v>
      </c>
      <c r="D10" s="229">
        <f>IF(ISNUMBER(Datos!I10),Datos!I10," - ")</f>
        <v>92</v>
      </c>
      <c r="E10" s="230">
        <f>IF(ISNUMBER(Datos!J10),Datos!J10," - ")</f>
        <v>6</v>
      </c>
      <c r="F10" s="230">
        <f>IF(ISNUMBER(Datos!K10),Datos!K10," - ")</f>
        <v>0</v>
      </c>
      <c r="G10" s="1189" t="str">
        <f>IF(Datos!E10&lt;&gt;"",Datos!E10,Datos!D10)</f>
        <v>37</v>
      </c>
      <c r="H10" s="231">
        <f>IF(ISNUMBER(Datos!L10),Datos!L10," - ")</f>
        <v>98</v>
      </c>
      <c r="I10" s="1199" t="str">
        <f>IF(ISNUMBER(Datos!AS10/Datos!BM10),Datos!AS10/Datos!BM10," - ")</f>
        <v xml:space="preserve"> - </v>
      </c>
      <c r="J10" s="1200">
        <f>IF(ISNUMBER(Datos!BY10/Datos!CN10),Datos!BY10/Datos!CN10," - ")</f>
        <v>0</v>
      </c>
      <c r="K10" s="234">
        <f t="shared" ref="K10:K12" si="1">IF(ISNUMBER((E10-F10)/C10),(E10-F10)/C10," - ")</f>
        <v>6.5217391304347824E-2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71.111111111111114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92</v>
      </c>
      <c r="D13" s="1206">
        <f>SUBTOTAL(9,D9:D12)</f>
        <v>92</v>
      </c>
      <c r="E13" s="1207">
        <f>SUBTOTAL(9,E9:E12)</f>
        <v>6</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2652</v>
      </c>
      <c r="D15" s="229">
        <f>IF(ISNUMBER(IF(D_I="SI",Datos!I15,Datos!I15+Datos!AC15)),IF(D_I="SI",Datos!I15,Datos!I15+Datos!AC15)," - ")</f>
        <v>2652</v>
      </c>
      <c r="E15" s="230">
        <f>IF(ISNUMBER(IF(D_I="SI",Datos!J15,Datos!J15+Datos!AD15)),IF(D_I="SI",Datos!J15,Datos!J15+Datos!AD15)," - ")</f>
        <v>1353</v>
      </c>
      <c r="F15" s="230">
        <f>IF(ISNUMBER(IF(D_I="SI",Datos!K15,Datos!K15+Datos!AE15)),IF(D_I="SI",Datos!K15,Datos!K15+Datos!AE15)," - ")</f>
        <v>1296</v>
      </c>
      <c r="G15" s="1189" t="str">
        <f>IF(Datos!E15&lt;&gt;"",Datos!E15,Datos!D15)</f>
        <v>03</v>
      </c>
      <c r="H15" s="231">
        <f>IF(ISNUMBER(IF(D_I="SI",Datos!L15,Datos!L15+Datos!AF15)),IF(D_I="SI",Datos!L15,Datos!L15+Datos!AF15)," - ")</f>
        <v>2709</v>
      </c>
      <c r="I15" s="1199" t="str">
        <f>IF(ISNUMBER(Datos!AS15/Datos!BM15),Datos!AS15/Datos!BM15," - ")</f>
        <v xml:space="preserve"> - </v>
      </c>
      <c r="J15" s="1200">
        <f>IF(ISNUMBER(Datos!BY15/Datos!CN15),Datos!BY15/Datos!CN15," - ")</f>
        <v>0</v>
      </c>
      <c r="K15" s="234">
        <f t="shared" ref="K15:K17" si="3">IF(ISNUMBER((E15-F15)/C15),(E15-F15)/C15," - ")</f>
        <v>2.1493212669683258E-2</v>
      </c>
      <c r="L15" s="1201">
        <f>IF(ISNUMBER(NºAsuntos!I15/NºAsuntos!G15),(NºAsuntos!I15/NºAsuntos!G15)*11," - ")</f>
        <v>22.993055555555554</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377</v>
      </c>
      <c r="D16" s="229">
        <f>IF(ISNUMBER(IF(D_I="SI",Datos!I16,Datos!I16+Datos!AC16)),IF(D_I="SI",Datos!I16,Datos!I16+Datos!AC16)," - ")</f>
        <v>368</v>
      </c>
      <c r="E16" s="230">
        <f>IF(ISNUMBER(IF(D_I="SI",Datos!J16,Datos!J16+Datos!AD16)),IF(D_I="SI",Datos!J16,Datos!J16+Datos!AD16)," - ")</f>
        <v>9</v>
      </c>
      <c r="F16" s="230">
        <f>IF(ISNUMBER(IF(D_I="SI",Datos!K16,Datos!K16+Datos!AE16)),IF(D_I="SI",Datos!K16,Datos!K16+Datos!AE16)," - ")</f>
        <v>72</v>
      </c>
      <c r="G16" s="1189" t="str">
        <f>IF(Datos!E16&lt;&gt;"",Datos!E16,Datos!D16)</f>
        <v>04</v>
      </c>
      <c r="H16" s="231">
        <f>IF(ISNUMBER(IF(D_I="SI",Datos!L16,Datos!L16+Datos!AF16)),IF(D_I="SI",Datos!L16,Datos!L16+Datos!AF16)," - ")</f>
        <v>314</v>
      </c>
      <c r="I16" s="1199" t="str">
        <f>IF(ISNUMBER(Datos!AS16/Datos!BM16),Datos!AS16/Datos!BM16," - ")</f>
        <v xml:space="preserve"> - </v>
      </c>
      <c r="J16" s="1200">
        <f>IF(ISNUMBER(Datos!BY16/Datos!CN16),Datos!BY16/Datos!CN16," - ")</f>
        <v>0</v>
      </c>
      <c r="K16" s="234">
        <f t="shared" si="3"/>
        <v>-0.16710875331564987</v>
      </c>
      <c r="L16" s="1201">
        <f>IF(ISNUMBER(NºAsuntos!I16/NºAsuntos!G16),(NºAsuntos!I16/NºAsuntos!G16)*11," - ")</f>
        <v>47.972222222222214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88</v>
      </c>
      <c r="D17" s="229">
        <f>IF(ISNUMBER(IF(D_I="SI",Datos!I17,Datos!I17+Datos!AC17)),IF(D_I="SI",Datos!I17,Datos!I17+Datos!AC17)," - ")</f>
        <v>88</v>
      </c>
      <c r="E17" s="230">
        <f>IF(ISNUMBER(IF(D_I="SI",Datos!J17,Datos!J17+Datos!AD17)),IF(D_I="SI",Datos!J17,Datos!J17+Datos!AD17)," - ")</f>
        <v>108</v>
      </c>
      <c r="F17" s="230">
        <f>IF(ISNUMBER(IF(D_I="SI",Datos!K17,Datos!K17+Datos!AE17)),IF(D_I="SI",Datos!K17,Datos!K17+Datos!AE17)," - ")</f>
        <v>80</v>
      </c>
      <c r="G17" s="1189" t="str">
        <f>IF(Datos!E17&lt;&gt;"",Datos!E17,Datos!D17)</f>
        <v>37</v>
      </c>
      <c r="H17" s="231">
        <f>IF(ISNUMBER(IF(D_I="SI",Datos!L17,Datos!L17+Datos!AF17)),IF(D_I="SI",Datos!L17,Datos!L17+Datos!AF17)," - ")</f>
        <v>116</v>
      </c>
      <c r="I17" s="1199" t="str">
        <f>IF(ISNUMBER(Datos!AS17/Datos!BM17),Datos!AS17/Datos!BM17," - ")</f>
        <v xml:space="preserve"> - </v>
      </c>
      <c r="J17" s="1200" t="str">
        <f>IF(ISNUMBER((Datos!BY17+Datos!BZ17)/Datos!CN17),(Datos!BY17+Datos!BZ17)/Datos!CN17," - ")</f>
        <v xml:space="preserve"> - </v>
      </c>
      <c r="K17" s="234">
        <f t="shared" si="3"/>
        <v>0.31818181818181818</v>
      </c>
      <c r="L17" s="1201">
        <f>IF(ISNUMBER(NºAsuntos!I17/NºAsuntos!G17),(NºAsuntos!I17/NºAsuntos!G17)*11," - ")</f>
        <v>15.95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3117</v>
      </c>
      <c r="D18" s="1206">
        <f>SUBTOTAL(9,D15:D17)</f>
        <v>3108</v>
      </c>
      <c r="E18" s="1207">
        <f>SUBTOTAL(9,E15:E17)</f>
        <v>1470</v>
      </c>
      <c r="F18" s="1207">
        <f>SUBTOTAL(9,F15:F17)</f>
        <v>1448</v>
      </c>
      <c r="G18" s="1209" t="str">
        <f ca="1">INDIRECT(CONCATENATE("G",ROW()-1))</f>
        <v>37</v>
      </c>
      <c r="H18" s="1210">
        <f ca="1">SUMIF(G$14:G17,G18,H$14:H17)</f>
        <v>116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3209</v>
      </c>
      <c r="D19" s="1228">
        <f>SUBTOTAL(9,D9:D18)</f>
        <v>3200</v>
      </c>
      <c r="E19" s="1229">
        <f>SUBTOTAL(9,E9:E18)</f>
        <v>1476</v>
      </c>
      <c r="F19" s="1229">
        <f>SUBTOTAL(9,F9:F18)</f>
        <v>1448</v>
      </c>
      <c r="G19" s="1230"/>
      <c r="H19" s="1231">
        <f ca="1">SUMIF(B9:B18,"TOTAL",H9:H18)</f>
        <v>116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86xrndzjg5LMPOLLlCLFMCZX2DTJYKxRc0Irzd2xIDjkZBfksXFmn+l+GXFhjY4/zPTT9CCHnjfkFRm+avrYqw==" saltValue="Xi1FrhwFyFuyCekTpMIwE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oywasRERR4MbE5THtbLxMao1gqUTIqVSKhg4LEChiH3r0wfNP8DMp7WV/BHb0xBWpMO7UM6zLPUYcmXdiaGaA==" saltValue="OGZN5+M5wblwZdkRmRSJ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5024</v>
      </c>
      <c r="J9" s="185">
        <v>1731</v>
      </c>
      <c r="K9" s="185">
        <v>1283</v>
      </c>
      <c r="L9" s="185">
        <v>5484</v>
      </c>
      <c r="M9" s="185">
        <v>599</v>
      </c>
      <c r="N9" s="185">
        <v>362</v>
      </c>
      <c r="O9" s="185">
        <v>476</v>
      </c>
      <c r="P9" s="185">
        <v>467</v>
      </c>
      <c r="Q9" s="185">
        <v>420</v>
      </c>
      <c r="R9" s="185">
        <v>6290</v>
      </c>
      <c r="S9" s="185">
        <v>3794</v>
      </c>
      <c r="T9" s="185">
        <v>1673</v>
      </c>
      <c r="U9" s="185">
        <v>1378</v>
      </c>
      <c r="V9" s="185">
        <v>4089</v>
      </c>
      <c r="W9" s="185">
        <v>630</v>
      </c>
      <c r="X9" s="192">
        <v>487</v>
      </c>
      <c r="Y9" s="195">
        <v>336</v>
      </c>
      <c r="Z9" s="185">
        <v>181</v>
      </c>
      <c r="AA9" s="185">
        <v>103</v>
      </c>
      <c r="AB9" s="185">
        <v>364</v>
      </c>
      <c r="AC9" s="185">
        <v>0</v>
      </c>
      <c r="AD9" s="185">
        <v>0</v>
      </c>
      <c r="AE9" s="185">
        <v>0</v>
      </c>
      <c r="AF9" s="192">
        <v>0</v>
      </c>
      <c r="AG9" s="195">
        <v>207</v>
      </c>
      <c r="AH9" s="185">
        <v>136</v>
      </c>
      <c r="AI9" s="185">
        <v>82</v>
      </c>
      <c r="AJ9" s="196">
        <v>261</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4001</v>
      </c>
      <c r="AZ9" s="124">
        <f>IF(ISNUMBER(IF(J_V="SI",T9,T9+AH9)),IF(J_V="SI",T9,T9+AH9)," - ")</f>
        <v>1809</v>
      </c>
      <c r="BA9" s="125">
        <f>IF(ISNUMBER(IF(J_V="SI",U9,U9+AI9)),IF(J_V="SI",U9,U9+AI9)," - ")</f>
        <v>1460</v>
      </c>
      <c r="BB9" s="125">
        <f>IF(ISNUMBER(IF(J_V="SI",V9,V9+AJ9)),IF(J_V="SI",V9,V9+AJ9)," - ")</f>
        <v>4350</v>
      </c>
      <c r="BC9" s="126">
        <f>IF(ISNUMBER(X9),X9," - ")</f>
        <v>487</v>
      </c>
      <c r="BD9" s="127">
        <f>IF(ISNUMBER(BA9/AZ9),BA9/AZ9," - ")</f>
        <v>0.80707573244886677</v>
      </c>
      <c r="BE9" s="128">
        <f>IF(ISNUMBER(BB9/BA9),BB9/BA9, " - ")</f>
        <v>2.9794520547945207</v>
      </c>
      <c r="BF9" s="128">
        <f>IF(ISNUMBER(BC9/BA9),BC9/BA9, " - ")</f>
        <v>0.33356164383561643</v>
      </c>
      <c r="BG9" s="200">
        <f>IF(ISNUMBER((AY9+AZ9)/BA9),(AY9+AZ9)/BA9," - ")</f>
        <v>3.9794520547945207</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92</v>
      </c>
      <c r="J10" s="185">
        <v>6</v>
      </c>
      <c r="K10" s="185">
        <v>0</v>
      </c>
      <c r="L10" s="185">
        <v>98</v>
      </c>
      <c r="M10" s="185">
        <v>0</v>
      </c>
      <c r="N10" s="185">
        <v>0</v>
      </c>
      <c r="O10" s="185">
        <v>0</v>
      </c>
      <c r="P10" s="185">
        <v>0</v>
      </c>
      <c r="Q10" s="185">
        <v>0</v>
      </c>
      <c r="R10" s="185">
        <v>21</v>
      </c>
      <c r="S10" s="185">
        <v>92</v>
      </c>
      <c r="T10" s="185">
        <v>26</v>
      </c>
      <c r="U10" s="185">
        <v>15</v>
      </c>
      <c r="V10" s="185">
        <v>103</v>
      </c>
      <c r="W10" s="185">
        <v>5</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794</v>
      </c>
      <c r="AT10" s="196"/>
      <c r="AU10" s="204"/>
      <c r="AV10" s="196"/>
      <c r="AW10" s="204"/>
      <c r="AX10" s="196"/>
      <c r="AY10" s="129">
        <f t="shared" ref="AY10:BC10" si="0">IF(ISNUMBER(S10),S10," - ")</f>
        <v>92</v>
      </c>
      <c r="AZ10" s="130">
        <f t="shared" si="0"/>
        <v>26</v>
      </c>
      <c r="BA10" s="130">
        <f t="shared" si="0"/>
        <v>15</v>
      </c>
      <c r="BB10" s="130">
        <f t="shared" si="0"/>
        <v>103</v>
      </c>
      <c r="BC10" s="126">
        <f t="shared" si="0"/>
        <v>5</v>
      </c>
      <c r="BD10" s="127">
        <f>IF(ISNUMBER(BA10/AZ10),BA10/AZ10," - ")</f>
        <v>0.57692307692307687</v>
      </c>
      <c r="BE10" s="128">
        <f>IF(ISNUMBER(BB10/BA10),BB10/BA10, " - ")</f>
        <v>6.8666666666666663</v>
      </c>
      <c r="BF10" s="128">
        <f>IF(ISNUMBER(BC10/BA10),BC10/BA10, " - ")</f>
        <v>0.33333333333333331</v>
      </c>
      <c r="BG10" s="200">
        <f>IF(ISNUMBER((AY10+AZ10)/BA10),(AY10+AZ10)/BA10," - ")</f>
        <v>7.8666666666666663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654</v>
      </c>
      <c r="J12" s="187">
        <v>13</v>
      </c>
      <c r="K12" s="187">
        <v>67</v>
      </c>
      <c r="L12" s="187">
        <v>600</v>
      </c>
      <c r="M12" s="187">
        <v>30</v>
      </c>
      <c r="N12" s="187">
        <v>14</v>
      </c>
      <c r="O12" s="185">
        <v>120</v>
      </c>
      <c r="P12" s="187">
        <v>3</v>
      </c>
      <c r="Q12" s="187">
        <v>122</v>
      </c>
      <c r="R12" s="187">
        <v>1861</v>
      </c>
      <c r="S12" s="187">
        <v>1102</v>
      </c>
      <c r="T12" s="187">
        <v>39</v>
      </c>
      <c r="U12" s="187">
        <v>175</v>
      </c>
      <c r="V12" s="187">
        <v>968</v>
      </c>
      <c r="W12" s="187">
        <v>54</v>
      </c>
      <c r="X12" s="193">
        <v>79</v>
      </c>
      <c r="Y12" s="195">
        <v>40</v>
      </c>
      <c r="Z12" s="185">
        <v>32</v>
      </c>
      <c r="AA12" s="185">
        <v>32</v>
      </c>
      <c r="AB12" s="185">
        <v>40</v>
      </c>
      <c r="AC12" s="187">
        <v>0</v>
      </c>
      <c r="AD12" s="187">
        <v>0</v>
      </c>
      <c r="AE12" s="187">
        <v>0</v>
      </c>
      <c r="AF12" s="193">
        <v>0</v>
      </c>
      <c r="AG12" s="206">
        <v>55</v>
      </c>
      <c r="AH12" s="187">
        <v>19</v>
      </c>
      <c r="AI12" s="187">
        <v>31</v>
      </c>
      <c r="AJ12" s="207">
        <v>43</v>
      </c>
      <c r="AK12" s="186">
        <v>0</v>
      </c>
      <c r="AL12" s="187">
        <v>0</v>
      </c>
      <c r="AM12" s="187">
        <v>0</v>
      </c>
      <c r="AN12" s="193">
        <v>0</v>
      </c>
      <c r="AO12" s="263">
        <v>0</v>
      </c>
      <c r="AP12" s="159">
        <v>0</v>
      </c>
      <c r="AQ12" s="159">
        <v>0</v>
      </c>
      <c r="AR12" s="158">
        <v>0</v>
      </c>
      <c r="AS12" s="349" t="s">
        <v>803</v>
      </c>
      <c r="AT12" s="207"/>
      <c r="AU12" s="206"/>
      <c r="AV12" s="207"/>
      <c r="AW12" s="206"/>
      <c r="AX12" s="207"/>
      <c r="AY12" s="127">
        <f t="shared" si="1"/>
        <v>1157</v>
      </c>
      <c r="AZ12" s="128">
        <f t="shared" si="1"/>
        <v>58</v>
      </c>
      <c r="BA12" s="128">
        <f t="shared" si="1"/>
        <v>206</v>
      </c>
      <c r="BB12" s="128">
        <f t="shared" si="1"/>
        <v>1011</v>
      </c>
      <c r="BC12" s="126">
        <f>IF(ISNUMBER(X12),X12," - ")</f>
        <v>79</v>
      </c>
      <c r="BD12" s="127">
        <f t="shared" si="2"/>
        <v>3.5517241379310347</v>
      </c>
      <c r="BE12" s="128">
        <f t="shared" si="3"/>
        <v>4.907766990291262</v>
      </c>
      <c r="BF12" s="128">
        <f t="shared" si="4"/>
        <v>0.38349514563106796</v>
      </c>
      <c r="BG12" s="200">
        <f t="shared" si="5"/>
        <v>5.8980582524271847</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5770</v>
      </c>
      <c r="J13" s="188">
        <f t="shared" si="6"/>
        <v>1750</v>
      </c>
      <c r="K13" s="188">
        <f t="shared" si="6"/>
        <v>1350</v>
      </c>
      <c r="L13" s="188">
        <f t="shared" si="6"/>
        <v>6182</v>
      </c>
      <c r="M13" s="188">
        <f t="shared" si="6"/>
        <v>629</v>
      </c>
      <c r="N13" s="188">
        <f t="shared" si="6"/>
        <v>376</v>
      </c>
      <c r="O13" s="188">
        <f t="shared" si="6"/>
        <v>596</v>
      </c>
      <c r="P13" s="188">
        <f t="shared" si="6"/>
        <v>470</v>
      </c>
      <c r="Q13" s="188">
        <f t="shared" si="6"/>
        <v>542</v>
      </c>
      <c r="R13" s="188">
        <f t="shared" si="6"/>
        <v>8172</v>
      </c>
      <c r="S13" s="188">
        <f t="shared" si="6"/>
        <v>4988</v>
      </c>
      <c r="T13" s="188">
        <f t="shared" si="6"/>
        <v>1738</v>
      </c>
      <c r="U13" s="188">
        <f t="shared" si="6"/>
        <v>1568</v>
      </c>
      <c r="V13" s="188">
        <f t="shared" si="6"/>
        <v>5160</v>
      </c>
      <c r="W13" s="188">
        <f t="shared" si="6"/>
        <v>689</v>
      </c>
      <c r="X13" s="188">
        <f t="shared" si="6"/>
        <v>572</v>
      </c>
      <c r="Y13" s="188">
        <f t="shared" si="6"/>
        <v>376</v>
      </c>
      <c r="Z13" s="188">
        <f t="shared" si="6"/>
        <v>213</v>
      </c>
      <c r="AA13" s="188">
        <f t="shared" si="6"/>
        <v>135</v>
      </c>
      <c r="AB13" s="188">
        <f t="shared" si="6"/>
        <v>404</v>
      </c>
      <c r="AC13" s="188">
        <f t="shared" si="6"/>
        <v>0</v>
      </c>
      <c r="AD13" s="188">
        <f t="shared" si="6"/>
        <v>0</v>
      </c>
      <c r="AE13" s="188">
        <f t="shared" si="6"/>
        <v>0</v>
      </c>
      <c r="AF13" s="188">
        <f>SUBTOTAL(9,AF9:AF12)</f>
        <v>0</v>
      </c>
      <c r="AG13" s="188">
        <f t="shared" ref="AG13:AT13" si="7">SUBTOTAL(9,AG8:AG12)</f>
        <v>262</v>
      </c>
      <c r="AH13" s="188">
        <f t="shared" si="7"/>
        <v>155</v>
      </c>
      <c r="AI13" s="188">
        <f t="shared" si="7"/>
        <v>113</v>
      </c>
      <c r="AJ13" s="188">
        <f t="shared" si="7"/>
        <v>304</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5250</v>
      </c>
      <c r="AZ13" s="188">
        <f>SUBTOTAL(9,AZ8:AZ12)</f>
        <v>1893</v>
      </c>
      <c r="BA13" s="188">
        <f>SUBTOTAL(9,BA8:BA12)</f>
        <v>1681</v>
      </c>
      <c r="BB13" s="188">
        <f>SUBTOTAL(9,BB8:BB12)</f>
        <v>5464</v>
      </c>
      <c r="BC13" s="188">
        <f>SUBTOTAL(9,BC8:BC12)</f>
        <v>571</v>
      </c>
      <c r="BD13" s="209">
        <f>IF(ISNUMBER(BA13/AZ13),BA13/AZ13," - ")</f>
        <v>0.88800845219228741</v>
      </c>
      <c r="BE13" s="210">
        <f>IF(ISNUMBER(BB13/BA13),BB13/BA13, " - ")</f>
        <v>3.2504461629982155</v>
      </c>
      <c r="BF13" s="210">
        <f>IF(ISNUMBER(BC13/BA13),BC13/BA13, " - ")</f>
        <v>0.33967876264128494</v>
      </c>
      <c r="BG13" s="211">
        <f>IF(ISNUMBER((AY13+AZ13)/BA13),(AY13+AZ13)/BA13," - ")</f>
        <v>4.2492563950029743</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2652</v>
      </c>
      <c r="J15" s="187">
        <v>1353</v>
      </c>
      <c r="K15" s="187">
        <v>1296</v>
      </c>
      <c r="L15" s="187">
        <v>2709</v>
      </c>
      <c r="M15" s="187">
        <v>154</v>
      </c>
      <c r="N15" s="187">
        <v>888</v>
      </c>
      <c r="O15" s="185">
        <v>2</v>
      </c>
      <c r="P15" s="187">
        <v>23</v>
      </c>
      <c r="Q15" s="187">
        <v>12</v>
      </c>
      <c r="R15" s="187">
        <v>147</v>
      </c>
      <c r="S15" s="187">
        <v>1362</v>
      </c>
      <c r="T15" s="187">
        <v>1197</v>
      </c>
      <c r="U15" s="187">
        <v>867</v>
      </c>
      <c r="V15" s="187">
        <v>1717</v>
      </c>
      <c r="W15" s="187">
        <v>117</v>
      </c>
      <c r="X15" s="193">
        <v>546</v>
      </c>
      <c r="Y15" s="206">
        <v>0</v>
      </c>
      <c r="Z15" s="187">
        <v>0</v>
      </c>
      <c r="AA15" s="187">
        <v>0</v>
      </c>
      <c r="AB15" s="187">
        <v>0</v>
      </c>
      <c r="AC15" s="187">
        <v>2</v>
      </c>
      <c r="AD15" s="187">
        <v>4</v>
      </c>
      <c r="AE15" s="187">
        <v>4</v>
      </c>
      <c r="AF15" s="193">
        <v>2</v>
      </c>
      <c r="AG15" s="206">
        <v>0</v>
      </c>
      <c r="AH15" s="187">
        <v>0</v>
      </c>
      <c r="AI15" s="187">
        <v>0</v>
      </c>
      <c r="AJ15" s="207">
        <v>0</v>
      </c>
      <c r="AK15" s="186">
        <v>0</v>
      </c>
      <c r="AL15" s="187">
        <v>1</v>
      </c>
      <c r="AM15" s="187">
        <v>1</v>
      </c>
      <c r="AN15" s="193">
        <v>0</v>
      </c>
      <c r="AO15" s="263">
        <v>3</v>
      </c>
      <c r="AP15" s="159">
        <v>3</v>
      </c>
      <c r="AQ15" s="159">
        <v>3</v>
      </c>
      <c r="AR15" s="159">
        <v>3</v>
      </c>
      <c r="AS15" s="349" t="s">
        <v>523</v>
      </c>
      <c r="AT15" s="207" t="s">
        <v>329</v>
      </c>
      <c r="AU15" s="206"/>
      <c r="AV15" s="207"/>
      <c r="AW15" s="206"/>
      <c r="AX15" s="207"/>
      <c r="AY15" s="129">
        <f t="shared" ref="AY15:BB16" si="9">IF(ISNUMBER(IF(D_I="SI",S15,S15+AK15)),IF(D_I="SI",S15,S15+AK15)," - ")</f>
        <v>1362</v>
      </c>
      <c r="AZ15" s="130">
        <f t="shared" si="9"/>
        <v>1197</v>
      </c>
      <c r="BA15" s="130">
        <f t="shared" si="9"/>
        <v>867</v>
      </c>
      <c r="BB15" s="130">
        <f t="shared" si="9"/>
        <v>1717</v>
      </c>
      <c r="BC15" s="126">
        <f>IF(ISNUMBER(W15),W15," - ")</f>
        <v>117</v>
      </c>
      <c r="BD15" s="127">
        <f>IF(ISNUMBER(BA15/AZ15),BA15/AZ15," - ")</f>
        <v>0.72431077694235591</v>
      </c>
      <c r="BE15" s="128">
        <f>IF(ISNUMBER(BB15/BA15),BB15/BA15, " - ")</f>
        <v>1.9803921568627452</v>
      </c>
      <c r="BF15" s="128">
        <f>IF(ISNUMBER(BC15/BA15),BC15/BA15, " - ")</f>
        <v>0.13494809688581316</v>
      </c>
      <c r="BG15" s="200">
        <f t="shared" ref="BG15:BG16" si="10">IF(ISNUMBER((AY15+AZ15)/BA15),(AY15+AZ15)/BA15," - ")</f>
        <v>2.9515570934256057</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368</v>
      </c>
      <c r="J16" s="187">
        <v>9</v>
      </c>
      <c r="K16" s="187">
        <v>72</v>
      </c>
      <c r="L16" s="187">
        <v>314</v>
      </c>
      <c r="M16" s="187">
        <v>7</v>
      </c>
      <c r="N16" s="187">
        <v>37</v>
      </c>
      <c r="O16" s="185">
        <v>0</v>
      </c>
      <c r="P16" s="187">
        <v>0</v>
      </c>
      <c r="Q16" s="187">
        <v>10</v>
      </c>
      <c r="R16" s="187">
        <v>162</v>
      </c>
      <c r="S16" s="187">
        <v>880</v>
      </c>
      <c r="T16" s="187">
        <v>125</v>
      </c>
      <c r="U16" s="187">
        <v>220</v>
      </c>
      <c r="V16" s="187">
        <v>786</v>
      </c>
      <c r="W16" s="187">
        <v>21</v>
      </c>
      <c r="X16" s="193">
        <v>60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880</v>
      </c>
      <c r="AZ16" s="128">
        <f t="shared" si="9"/>
        <v>125</v>
      </c>
      <c r="BA16" s="128">
        <f t="shared" si="9"/>
        <v>220</v>
      </c>
      <c r="BB16" s="128">
        <f t="shared" si="9"/>
        <v>786</v>
      </c>
      <c r="BC16" s="126">
        <f>IF(ISNUMBER(W16),W16," - ")</f>
        <v>21</v>
      </c>
      <c r="BD16" s="127">
        <f t="shared" ref="BD16" si="11">IF(ISNUMBER(BA16/AZ16),BA16/AZ16," - ")</f>
        <v>1.76</v>
      </c>
      <c r="BE16" s="128">
        <f t="shared" ref="BE16" si="12">IF(ISNUMBER(BB16/BA16),BB16/BA16, " - ")</f>
        <v>3.5727272727272728</v>
      </c>
      <c r="BF16" s="128">
        <f t="shared" ref="BF16" si="13">IF(ISNUMBER(BC16/BA16),BC16/BA16, " - ")</f>
        <v>9.5454545454545459E-2</v>
      </c>
      <c r="BG16" s="200">
        <f t="shared" si="10"/>
        <v>4.5681818181818183</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88</v>
      </c>
      <c r="J17" s="187">
        <v>108</v>
      </c>
      <c r="K17" s="187">
        <v>80</v>
      </c>
      <c r="L17" s="187">
        <v>116</v>
      </c>
      <c r="M17" s="187">
        <v>18</v>
      </c>
      <c r="N17" s="187">
        <v>29</v>
      </c>
      <c r="O17" s="187">
        <v>0</v>
      </c>
      <c r="P17" s="187">
        <v>3</v>
      </c>
      <c r="Q17" s="187">
        <v>0</v>
      </c>
      <c r="R17" s="187">
        <v>7</v>
      </c>
      <c r="S17" s="187">
        <v>52</v>
      </c>
      <c r="T17" s="187">
        <v>155</v>
      </c>
      <c r="U17" s="187">
        <v>140</v>
      </c>
      <c r="V17" s="187">
        <v>67</v>
      </c>
      <c r="W17" s="187">
        <v>27</v>
      </c>
      <c r="X17" s="193">
        <v>76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793</v>
      </c>
      <c r="AT17" s="213"/>
      <c r="AU17" s="204"/>
      <c r="AV17" s="213"/>
      <c r="AW17" s="204"/>
      <c r="AX17" s="213"/>
      <c r="AY17" s="129">
        <f t="shared" ref="AY17:BB17" si="14">IF(ISNUMBER(S17),S17," - ")</f>
        <v>52</v>
      </c>
      <c r="AZ17" s="130">
        <f t="shared" si="14"/>
        <v>155</v>
      </c>
      <c r="BA17" s="130">
        <f t="shared" si="14"/>
        <v>140</v>
      </c>
      <c r="BB17" s="130">
        <f t="shared" si="14"/>
        <v>67</v>
      </c>
      <c r="BC17" s="126">
        <f>IF(ISNUMBER(W17),W17," - ")</f>
        <v>27</v>
      </c>
      <c r="BD17" s="127">
        <f>IF(ISNUMBER(BA17/AZ17),BA17/AZ17," - ")</f>
        <v>0.90322580645161288</v>
      </c>
      <c r="BE17" s="128">
        <f>IF(ISNUMBER(BB17/BA17),BB17/BA17, " - ")</f>
        <v>0.47857142857142859</v>
      </c>
      <c r="BF17" s="128">
        <f>IF(ISNUMBER(BC17/BA17),BC17/BA17, " - ")</f>
        <v>0.19285714285714287</v>
      </c>
      <c r="BG17" s="200">
        <f>IF(ISNUMBER((AY17+AZ17)/BA17),(AY17+AZ17)/BA17," - ")</f>
        <v>1.4785714285714286</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3108</v>
      </c>
      <c r="J18" s="188">
        <f t="shared" si="15"/>
        <v>1470</v>
      </c>
      <c r="K18" s="188">
        <f t="shared" si="15"/>
        <v>1448</v>
      </c>
      <c r="L18" s="188">
        <f t="shared" si="15"/>
        <v>3139</v>
      </c>
      <c r="M18" s="188">
        <f t="shared" si="15"/>
        <v>179</v>
      </c>
      <c r="N18" s="188">
        <f t="shared" si="15"/>
        <v>954</v>
      </c>
      <c r="O18" s="188">
        <f t="shared" si="15"/>
        <v>2</v>
      </c>
      <c r="P18" s="188">
        <f t="shared" si="15"/>
        <v>26</v>
      </c>
      <c r="Q18" s="188">
        <f t="shared" si="15"/>
        <v>22</v>
      </c>
      <c r="R18" s="188">
        <f t="shared" si="15"/>
        <v>316</v>
      </c>
      <c r="S18" s="188">
        <f t="shared" si="15"/>
        <v>2294</v>
      </c>
      <c r="T18" s="188">
        <f t="shared" si="15"/>
        <v>1477</v>
      </c>
      <c r="U18" s="188">
        <f t="shared" si="15"/>
        <v>1227</v>
      </c>
      <c r="V18" s="188">
        <f t="shared" si="15"/>
        <v>2570</v>
      </c>
      <c r="W18" s="188">
        <f t="shared" si="15"/>
        <v>165</v>
      </c>
      <c r="X18" s="188">
        <f t="shared" si="15"/>
        <v>682</v>
      </c>
      <c r="Y18" s="188">
        <f t="shared" si="15"/>
        <v>0</v>
      </c>
      <c r="Z18" s="188">
        <f t="shared" si="15"/>
        <v>0</v>
      </c>
      <c r="AA18" s="188">
        <f t="shared" si="15"/>
        <v>0</v>
      </c>
      <c r="AB18" s="188">
        <f t="shared" si="15"/>
        <v>0</v>
      </c>
      <c r="AC18" s="188">
        <f t="shared" si="15"/>
        <v>2</v>
      </c>
      <c r="AD18" s="188">
        <f t="shared" si="15"/>
        <v>4</v>
      </c>
      <c r="AE18" s="188">
        <f t="shared" si="15"/>
        <v>4</v>
      </c>
      <c r="AF18" s="188">
        <f t="shared" si="15"/>
        <v>2</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2294</v>
      </c>
      <c r="AZ18" s="188">
        <f>SUBTOTAL(9,AZ14:AZ17)</f>
        <v>1477</v>
      </c>
      <c r="BA18" s="188">
        <f>SUBTOTAL(9,BA14:BA17)</f>
        <v>1227</v>
      </c>
      <c r="BB18" s="188">
        <f>SUBTOTAL(9,BB14:BB17)</f>
        <v>2570</v>
      </c>
      <c r="BC18" s="188">
        <f>SUBTOTAL(9,BC14:BC17)</f>
        <v>165</v>
      </c>
      <c r="BD18" s="209">
        <f>IF(ISNUMBER(BA18/AZ18),BA18/AZ18," - ")</f>
        <v>0.83073798239675012</v>
      </c>
      <c r="BE18" s="210">
        <f>IF(ISNUMBER(BB18/BA18),BB18/BA18, " - ")</f>
        <v>2.0945395273023637</v>
      </c>
      <c r="BF18" s="210">
        <f>IF(ISNUMBER(BC18/BA18),BC18/BA18, " - ")</f>
        <v>0.13447432762836187</v>
      </c>
      <c r="BG18" s="211">
        <f>IF(ISNUMBER((AY18+AZ18)/BA18),(AY18+AZ18)/BA18," - ")</f>
        <v>3.0733496332518335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8878</v>
      </c>
      <c r="J19" s="135">
        <f t="shared" si="18"/>
        <v>3220</v>
      </c>
      <c r="K19" s="135">
        <f t="shared" si="18"/>
        <v>2798</v>
      </c>
      <c r="L19" s="135">
        <f t="shared" si="18"/>
        <v>9321</v>
      </c>
      <c r="M19" s="135">
        <f t="shared" si="18"/>
        <v>808</v>
      </c>
      <c r="N19" s="135">
        <f t="shared" si="18"/>
        <v>1330</v>
      </c>
      <c r="O19" s="135">
        <f t="shared" si="18"/>
        <v>598</v>
      </c>
      <c r="P19" s="135">
        <f t="shared" si="18"/>
        <v>496</v>
      </c>
      <c r="Q19" s="135">
        <f t="shared" si="18"/>
        <v>564</v>
      </c>
      <c r="R19" s="135">
        <f t="shared" si="18"/>
        <v>8488</v>
      </c>
      <c r="S19" s="135">
        <f t="shared" si="18"/>
        <v>7282</v>
      </c>
      <c r="T19" s="135">
        <f t="shared" si="18"/>
        <v>3215</v>
      </c>
      <c r="U19" s="135">
        <f t="shared" si="18"/>
        <v>2795</v>
      </c>
      <c r="V19" s="135">
        <f t="shared" si="18"/>
        <v>7730</v>
      </c>
      <c r="W19" s="135">
        <f t="shared" si="18"/>
        <v>854</v>
      </c>
      <c r="X19" s="135">
        <f t="shared" si="18"/>
        <v>1254</v>
      </c>
      <c r="Y19" s="135">
        <f t="shared" si="18"/>
        <v>376</v>
      </c>
      <c r="Z19" s="135">
        <f t="shared" si="18"/>
        <v>213</v>
      </c>
      <c r="AA19" s="135">
        <f t="shared" si="18"/>
        <v>135</v>
      </c>
      <c r="AB19" s="135">
        <f t="shared" si="18"/>
        <v>404</v>
      </c>
      <c r="AC19" s="135">
        <f t="shared" si="18"/>
        <v>2</v>
      </c>
      <c r="AD19" s="135">
        <f t="shared" si="18"/>
        <v>4</v>
      </c>
      <c r="AE19" s="135">
        <f t="shared" si="18"/>
        <v>4</v>
      </c>
      <c r="AF19" s="135">
        <f t="shared" si="18"/>
        <v>2</v>
      </c>
      <c r="AG19" s="135">
        <f t="shared" si="18"/>
        <v>262</v>
      </c>
      <c r="AH19" s="135">
        <f t="shared" si="18"/>
        <v>155</v>
      </c>
      <c r="AI19" s="135">
        <f t="shared" si="18"/>
        <v>113</v>
      </c>
      <c r="AJ19" s="135">
        <f t="shared" si="18"/>
        <v>304</v>
      </c>
      <c r="AK19" s="135">
        <f t="shared" si="18"/>
        <v>0</v>
      </c>
      <c r="AL19" s="135">
        <f t="shared" si="18"/>
        <v>1</v>
      </c>
      <c r="AM19" s="135">
        <f t="shared" si="18"/>
        <v>1</v>
      </c>
      <c r="AN19" s="214">
        <f t="shared" si="18"/>
        <v>0</v>
      </c>
      <c r="AO19" s="215">
        <v>9</v>
      </c>
      <c r="AP19" s="215">
        <v>8</v>
      </c>
      <c r="AQ19" s="215">
        <v>8</v>
      </c>
      <c r="AR19" s="215">
        <v>8</v>
      </c>
      <c r="AS19" s="157">
        <f t="shared" si="18"/>
        <v>0</v>
      </c>
      <c r="AT19" s="157">
        <f t="shared" si="18"/>
        <v>0</v>
      </c>
      <c r="AU19" s="215"/>
      <c r="AV19" s="216"/>
      <c r="AW19" s="215"/>
      <c r="AX19" s="216"/>
      <c r="AY19" s="134">
        <f>SUBTOTAL(9,AY9:AY18)</f>
        <v>7544</v>
      </c>
      <c r="AZ19" s="135">
        <f>SUBTOTAL(9,AZ9:AZ18)</f>
        <v>3370</v>
      </c>
      <c r="BA19" s="135">
        <f>SUBTOTAL(9,BA9:BA18)</f>
        <v>2908</v>
      </c>
      <c r="BB19" s="135">
        <f>SUBTOTAL(9,BB9:BB18)</f>
        <v>8034</v>
      </c>
      <c r="BC19" s="136">
        <f>SUBTOTAL(9,BC9:BC18)</f>
        <v>736</v>
      </c>
      <c r="BD19" s="217">
        <f>IF(ISNUMBER(BA19/AZ19),BA19/AZ19," - ")</f>
        <v>0.86290801186943622</v>
      </c>
      <c r="BE19" s="214">
        <f>IF(ISNUMBER(BB19/BA19),BB19/BA19, " - ")</f>
        <v>2.762723521320495</v>
      </c>
      <c r="BF19" s="214">
        <f>IF(ISNUMBER(BC19/BA19),BC19/BA19, " - ")</f>
        <v>0.25309491059147182</v>
      </c>
      <c r="BG19" s="136">
        <f>IF(ISNUMBER((AY19+AZ19)/BA19),(AY19+AZ19)/BA19," - ")</f>
        <v>3.7530949105914719</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UP4ArqUn48CoH6b4UXkMzwZwUldt0/G+Edl3ZyuOXnklI8Qb5xULPUy+W4yOhLDw5TGVgy+i5o22gY/H3w6g==" saltValue="iNOH0iNXidUFIf+NDyIw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Q6vMhQHmBcwVyka5RlZpus0DPSS+tx6gWJbwVtQV0cDkNX/xjFUCPlMtsrBWXMNw3JEUyfcTHKEv94Trf9PpQ==" saltValue="7ObuphlmNGpxm9Zr/aA4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TOLEDO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181</v>
      </c>
      <c r="O9" s="503"/>
      <c r="P9" s="503"/>
      <c r="Q9" s="501">
        <f>IF(ISNUMBER(Datos!P9),Datos!P9,0)</f>
        <v>467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420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364</v>
      </c>
      <c r="AI9" s="503" t="str">
        <f>IF(ISNUMBER(Datos!CD9),Datos!CD9,"-")</f>
        <v>-</v>
      </c>
      <c r="AJ9" s="503" t="str">
        <f>IF(ISNUMBER(Datos!EN9),Datos!EN9," - ")</f>
        <v xml:space="preserve"> - </v>
      </c>
      <c r="AK9" s="503"/>
      <c r="AL9" s="504"/>
      <c r="AM9" s="671">
        <f>IF(ISNUMBER(Datos!R9),Datos!R9," - ")</f>
        <v>6290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599</v>
      </c>
      <c r="BD9" s="619">
        <f>IF(ISNUMBER(Datos!N9),Datos!N9," - ")</f>
        <v>362</v>
      </c>
      <c r="BE9" s="619" t="str">
        <f>IF(ISNUMBER(Datos!BW9),Datos!BW9," - ")</f>
        <v xml:space="preserve"> - </v>
      </c>
      <c r="BF9" s="667" t="str">
        <f>IF(ISNUMBER(Datos!BX9),Datos!BX9," - ")</f>
        <v xml:space="preserve"> - </v>
      </c>
      <c r="BG9" s="668">
        <f>IF(ISNUMBER(IF(J_V="SI",Datos!K9/Datos!J9,(Datos!K9+Datos!AA9)/(Datos!J9+Datos!Z9))),IF(J_V="SI",Datos!K9/Datos!J9,(Datos!K9+Datos!AA9)/(Datos!J9+Datos!Z9))," - ")</f>
        <v>0.72489539748953979</v>
      </c>
      <c r="BH9" s="669">
        <f>IF(ISNUMBER(((IF(J_V="SI",Datos!L9/Datos!K9,(Datos!L9+Datos!AB9)/(Datos!K9+Datos!AA9)))*11)/factor_trimestre),((IF(J_V="SI",Datos!L9/Datos!K9,(Datos!L9+Datos!AB9)/(Datos!K9+Datos!AA9)))*11)/factor_trimestre," - ")</f>
        <v>12.65800865800866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7.5284318436649048E-3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92</v>
      </c>
      <c r="G10" s="497">
        <f>IF(ISNUMBER(Datos!I10),Datos!I10," - ")</f>
        <v>92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98</v>
      </c>
      <c r="AG10" s="503"/>
      <c r="AH10" s="503"/>
      <c r="AI10" s="503"/>
      <c r="AJ10" s="503"/>
      <c r="AK10" s="503"/>
      <c r="AL10" s="504"/>
      <c r="AM10" s="671">
        <f>IF(ISNUMBER(Datos!R10),Datos!R10," - ")</f>
        <v>21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40</v>
      </c>
      <c r="AI12" s="503" t="str">
        <f>IF(ISNUMBER(Datos!CD12),Datos!CD12,"-")</f>
        <v>-</v>
      </c>
      <c r="AJ12" s="503" t="str">
        <f>IF(ISNUMBER(Datos!EN12),Datos!EN12," - ")</f>
        <v xml:space="preserve"> - </v>
      </c>
      <c r="AK12" s="503"/>
      <c r="AL12" s="504"/>
      <c r="AM12" s="671">
        <f>IF(ISNUMBER(Datos!R12),Datos!R12," - ")</f>
        <v>1861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30</v>
      </c>
      <c r="BD12" s="619">
        <f>IF(ISNUMBER(Datos!N12),Datos!N12," - ")</f>
        <v>14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2.2000000000000002</v>
      </c>
      <c r="BH12" s="669">
        <f>IF(ISNUMBER(((IF(J_V="SI",Datos!L12/Datos!K12,(Datos!L12+Datos!AB12)/(Datos!K12+Datos!AA12)))*11)/factor_trimestre),((IF(J_V="SI",Datos!L12/Datos!K12,(Datos!L12+Datos!AB12)/(Datos!K12+Datos!AA12)))*11)/factor_trimestre," - ")</f>
        <v>19.393939393939394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-6.0101010101010099E-2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92</v>
      </c>
      <c r="G13" s="1044">
        <f t="shared" si="0"/>
        <v>92</v>
      </c>
      <c r="H13" s="1045">
        <f t="shared" si="0"/>
        <v>0</v>
      </c>
      <c r="I13" s="1044">
        <f t="shared" si="0"/>
        <v>0</v>
      </c>
      <c r="J13" s="1013">
        <f t="shared" si="0"/>
        <v>0</v>
      </c>
      <c r="K13" s="1013">
        <f t="shared" si="0"/>
        <v>0</v>
      </c>
      <c r="L13" s="1045">
        <f t="shared" si="0"/>
        <v>0</v>
      </c>
      <c r="M13" s="1045">
        <f t="shared" si="0"/>
        <v>0</v>
      </c>
      <c r="N13" s="1045">
        <f t="shared" si="0"/>
        <v>213</v>
      </c>
      <c r="O13" s="1046">
        <f t="shared" si="0"/>
        <v>0</v>
      </c>
      <c r="P13" s="1046">
        <f t="shared" si="0"/>
        <v>0</v>
      </c>
      <c r="Q13" s="1045">
        <f t="shared" si="0"/>
        <v>470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542</v>
      </c>
      <c r="AD13" s="1045">
        <f t="shared" si="1"/>
        <v>0</v>
      </c>
      <c r="AE13" s="1045">
        <f t="shared" si="1"/>
        <v>0</v>
      </c>
      <c r="AF13" s="1045">
        <f t="shared" si="1"/>
        <v>98</v>
      </c>
      <c r="AG13" s="1045">
        <f t="shared" si="1"/>
        <v>0</v>
      </c>
      <c r="AH13" s="1045">
        <f t="shared" si="1"/>
        <v>404</v>
      </c>
      <c r="AI13" s="1045">
        <f t="shared" si="1"/>
        <v>0</v>
      </c>
      <c r="AJ13" s="1045">
        <f t="shared" si="1"/>
        <v>0</v>
      </c>
      <c r="AK13" s="1045">
        <f t="shared" si="1"/>
        <v>0</v>
      </c>
      <c r="AL13" s="1045">
        <f t="shared" si="1"/>
        <v>0</v>
      </c>
      <c r="AM13" s="1045">
        <f t="shared" si="1"/>
        <v>8172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629</v>
      </c>
      <c r="BD13" s="1045">
        <f t="shared" si="1"/>
        <v>376</v>
      </c>
      <c r="BE13" s="1045">
        <f t="shared" si="1"/>
        <v>0</v>
      </c>
      <c r="BF13" s="1045">
        <f t="shared" si="1"/>
        <v>0</v>
      </c>
      <c r="BG13" s="1045">
        <f>IF(ISNUMBER(Datos!K13/Datos!J13),Datos!K13/Datos!J13," - ")</f>
        <v>0.77142857142857146</v>
      </c>
      <c r="BH13" s="1049">
        <f>IF(ISNUMBER(((Datos!L13/Datos!K13)*11)/factor_trimestre),((Datos!L13/Datos!K13)*11)/factor_trimestre," - ")</f>
        <v>13.737777777777778</v>
      </c>
      <c r="BI13" s="1045">
        <f>IF(ISNUMBER('Resol  Asuntos'!D13/NºAsuntos!G13),'Resol  Asuntos'!D13/NºAsuntos!G13," - ")</f>
        <v>0.42356902356902359</v>
      </c>
      <c r="BJ13" s="1045" t="str">
        <f>IF(ISNUMBER(Datos!CI13/Datos!CJ13),Datos!CI13/Datos!CJ13," - ")</f>
        <v xml:space="preserve"> - </v>
      </c>
      <c r="BK13" s="1045">
        <f>SUBTOTAL(9,BK8:BK12)</f>
        <v>0</v>
      </c>
      <c r="BL13" s="1045">
        <f>IF(ISNUMBER((I13-AB13+L13)/(F13)),(I13-AB13+L13)/(F13)," - ")</f>
        <v>0</v>
      </c>
      <c r="BM13" s="1050">
        <f>SUBTOTAL(9,BM9:BM12)</f>
        <v>-5.2572578257345196E-2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2652</v>
      </c>
      <c r="G15" s="650">
        <f>IF(ISNUMBER(IF(D_I="SI",Datos!I15,Datos!I15+Datos!AC15)),IF(D_I="SI",Datos!I15,Datos!I15+Datos!AC15)," - ")</f>
        <v>2652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23</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1296</v>
      </c>
      <c r="AC15" s="230">
        <f>IF(ISNUMBER(Datos!Q15),Datos!Q15," - ")</f>
        <v>12</v>
      </c>
      <c r="AD15" s="343"/>
      <c r="AE15" s="515"/>
      <c r="AF15" s="648">
        <f>IF(ISNUMBER(IF(D_I="SI",Datos!L15,Datos!L15+Datos!AF15)),IF(D_I="SI",Datos!L15,Datos!L15+Datos!AF15)," - ")</f>
        <v>2709</v>
      </c>
      <c r="AG15" s="343"/>
      <c r="AH15" s="343"/>
      <c r="AI15" s="343"/>
      <c r="AJ15" s="503"/>
      <c r="AK15" s="343"/>
      <c r="AL15" s="499"/>
      <c r="AM15" s="344">
        <f>IF(ISNUMBER(Datos!R15),Datos!R15," - ")</f>
        <v>147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154</v>
      </c>
      <c r="BD15" s="233">
        <f>IF(ISNUMBER(Datos!N15),Datos!N15," - ")</f>
        <v>888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0.95787139689578715</v>
      </c>
      <c r="BH15" s="669">
        <f>IF(ISNUMBER(((IF(D_I="SI",Datos!L15/Datos!K15,(Datos!L15+Datos!AF15)/(Datos!K15+Datos!AE15)))*11)/factor_trimestre),((IF(D_I="SI",Datos!L15/Datos!K15,(Datos!L15+Datos!AF15)/(Datos!K15+Datos!AE15)))*11)/factor_trimestre," - ")</f>
        <v>6.270833333333333</v>
      </c>
      <c r="BI15" s="247">
        <f>IF(ISNUMBER('Resol  Asuntos'!D15/NºAsuntos!G15),'Resol  Asuntos'!D15/NºAsuntos!G15," - ")</f>
        <v>0.11882716049382716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377</v>
      </c>
      <c r="G16" s="650">
        <f>IF(ISNUMBER(IF(D_I="SI",Datos!I16,Datos!I16+Datos!AC16)),IF(D_I="SI",Datos!I16,Datos!I16+Datos!AC16)," - ")</f>
        <v>368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72</v>
      </c>
      <c r="AC16" s="230">
        <f>IF(ISNUMBER(Datos!Q16),Datos!Q16," - ")</f>
        <v>10</v>
      </c>
      <c r="AD16" s="343"/>
      <c r="AE16" s="515"/>
      <c r="AF16" s="648">
        <f>IF(ISNUMBER(IF(D_I="SI",Datos!L16,Datos!L16+Datos!AF16)),IF(D_I="SI",Datos!L16,Datos!L16+Datos!AF16)," - ")</f>
        <v>314</v>
      </c>
      <c r="AG16" s="343"/>
      <c r="AH16" s="343"/>
      <c r="AI16" s="343"/>
      <c r="AJ16" s="503"/>
      <c r="AK16" s="343"/>
      <c r="AL16" s="499"/>
      <c r="AM16" s="344">
        <f>IF(ISNUMBER(Datos!R16),Datos!R16," - ")</f>
        <v>162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v>
      </c>
      <c r="BD16" s="233">
        <f>IF(ISNUMBER(Datos!N16),Datos!N16," - ")</f>
        <v>37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8</v>
      </c>
      <c r="BH16" s="669">
        <f>IF(ISNUMBER(((IF(D_I="SI",Datos!L16/Datos!K16,(Datos!L16+Datos!AF16)/(Datos!K16+Datos!AE16)))*11)/factor_trimestre),((IF(D_I="SI",Datos!L16/Datos!K16,(Datos!L16+Datos!AF16)/(Datos!K16+Datos!AE16)))*11)/factor_trimestre," - ")</f>
        <v>13.083333333333332</v>
      </c>
      <c r="BI16" s="247">
        <f>IF(ISNUMBER('Resol  Asuntos'!D16/NºAsuntos!G16),'Resol  Asuntos'!D16/NºAsuntos!G16," - ")</f>
        <v>9.7222222222222224E-2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80</v>
      </c>
      <c r="AC17" s="501">
        <f>IF(ISNUMBER(Datos!Q17),Datos!Q17," - ")</f>
        <v>0</v>
      </c>
      <c r="AD17" s="503"/>
      <c r="AE17" s="515"/>
      <c r="AF17" s="505">
        <f>IF(ISNUMBER(Datos!L17),Datos!L17,"-")</f>
        <v>116</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29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0.7407407407407407</v>
      </c>
      <c r="BH17" s="669">
        <f>IF(ISNUMBER(((IF(D_I="SI",Datos!L17/Datos!K17,(Datos!L17+Datos!AF17)/(Datos!K17+Datos!AE17)))*11)/factor_trimestre),((IF(D_I="SI",Datos!L17/Datos!K17,(Datos!L17+Datos!AF17)/(Datos!K17+Datos!AE17)))*11)/factor_trimestre," - ")</f>
        <v>4.3499999999999996</v>
      </c>
      <c r="BI17" s="668">
        <f>IF(ISNUMBER('Resol  Asuntos'!D17/NºAsuntos!G17),'Resol  Asuntos'!D17/NºAsuntos!G17," - ")</f>
        <v>0.22500000000000001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3029</v>
      </c>
      <c r="G18" s="1044">
        <f>SUBTOTAL(9,G15:G17)</f>
        <v>3108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1448</v>
      </c>
      <c r="AC18" s="1045">
        <f t="shared" si="4"/>
        <v>22</v>
      </c>
      <c r="AD18" s="1045">
        <f t="shared" si="4"/>
        <v>0</v>
      </c>
      <c r="AE18" s="1045">
        <f t="shared" si="4"/>
        <v>0</v>
      </c>
      <c r="AF18" s="1045">
        <f t="shared" si="4"/>
        <v>3139</v>
      </c>
      <c r="AG18" s="1045">
        <f t="shared" si="4"/>
        <v>0</v>
      </c>
      <c r="AH18" s="1045">
        <f t="shared" si="4"/>
        <v>0</v>
      </c>
      <c r="AI18" s="1045">
        <f t="shared" si="4"/>
        <v>0</v>
      </c>
      <c r="AJ18" s="1045">
        <f t="shared" si="4"/>
        <v>0</v>
      </c>
      <c r="AK18" s="1045">
        <f t="shared" si="4"/>
        <v>0</v>
      </c>
      <c r="AL18" s="1045">
        <f t="shared" si="4"/>
        <v>0</v>
      </c>
      <c r="AM18" s="1045">
        <f t="shared" si="4"/>
        <v>316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179</v>
      </c>
      <c r="BD18" s="1045">
        <f t="shared" si="4"/>
        <v>954</v>
      </c>
      <c r="BE18" s="1045">
        <f t="shared" si="4"/>
        <v>0</v>
      </c>
      <c r="BF18" s="1045">
        <f t="shared" si="4"/>
        <v>0</v>
      </c>
      <c r="BG18" s="1045">
        <f>IF(ISNUMBER(Datos!K18/Datos!J18),Datos!K18/Datos!J18," - ")</f>
        <v>0.98503401360544218</v>
      </c>
      <c r="BH18" s="1049">
        <f>IF(ISNUMBER(((Datos!L18/Datos!K18)*11)/factor_trimestre),((Datos!L18/Datos!K18)*11)/factor_trimestre," - ")</f>
        <v>6.5034530386740332</v>
      </c>
      <c r="BI18" s="1045">
        <f>SUBTOTAL(9,BI15:BI17)</f>
        <v>0.44104938271604943</v>
      </c>
      <c r="BJ18" s="1045">
        <f>SUBTOTAL(9,BJ15:BJ17)</f>
        <v>0</v>
      </c>
      <c r="BK18" s="1045">
        <f>SUBTOTAL(9,BK15:BK17)</f>
        <v>0</v>
      </c>
      <c r="BL18" s="1045">
        <f>IF(ISNUMBER((I18-AB18+L18)/(F18)),(I18-AB18+L18)/(F18)," - ")</f>
        <v>-0.47804555959062395</v>
      </c>
      <c r="BM18" s="1051">
        <f>IF(ISNUMBER((Datos!P18-Datos!Q18)/(Datos!R18-Datos!P18+Datos!Q18)),(Datos!P18-Datos!Q18)/(Datos!R18-Datos!P18+Datos!Q18)," - ")</f>
        <v>1.282051282051282E-2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3121</v>
      </c>
      <c r="G19" s="966">
        <f t="shared" si="6"/>
        <v>3200</v>
      </c>
      <c r="H19" s="968">
        <f t="shared" si="6"/>
        <v>0</v>
      </c>
      <c r="I19" s="966">
        <f t="shared" si="6"/>
        <v>0</v>
      </c>
      <c r="J19" s="968">
        <f t="shared" si="6"/>
        <v>0</v>
      </c>
      <c r="K19" s="968">
        <f t="shared" si="6"/>
        <v>0</v>
      </c>
      <c r="L19" s="1027">
        <f t="shared" si="6"/>
        <v>0</v>
      </c>
      <c r="M19" s="1027">
        <f t="shared" si="6"/>
        <v>0</v>
      </c>
      <c r="N19" s="1027">
        <f t="shared" si="6"/>
        <v>213</v>
      </c>
      <c r="O19" s="1027">
        <f t="shared" si="6"/>
        <v>0</v>
      </c>
      <c r="P19" s="1027">
        <f t="shared" si="6"/>
        <v>0</v>
      </c>
      <c r="Q19" s="968">
        <f t="shared" si="6"/>
        <v>496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1448</v>
      </c>
      <c r="AC19" s="967">
        <f t="shared" si="7"/>
        <v>564</v>
      </c>
      <c r="AD19" s="967">
        <f t="shared" si="7"/>
        <v>0</v>
      </c>
      <c r="AE19" s="967">
        <f t="shared" si="7"/>
        <v>0</v>
      </c>
      <c r="AF19" s="974">
        <f t="shared" si="7"/>
        <v>3237</v>
      </c>
      <c r="AG19" s="974">
        <f t="shared" si="7"/>
        <v>0</v>
      </c>
      <c r="AH19" s="974">
        <f t="shared" si="7"/>
        <v>404</v>
      </c>
      <c r="AI19" s="974">
        <f t="shared" si="7"/>
        <v>0</v>
      </c>
      <c r="AJ19" s="967">
        <f t="shared" si="7"/>
        <v>0</v>
      </c>
      <c r="AK19" s="974">
        <f t="shared" si="7"/>
        <v>0</v>
      </c>
      <c r="AL19" s="974">
        <f t="shared" si="7"/>
        <v>0</v>
      </c>
      <c r="AM19" s="974">
        <f t="shared" si="7"/>
        <v>8488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808</v>
      </c>
      <c r="BD19" s="966">
        <f t="shared" si="7"/>
        <v>1330</v>
      </c>
      <c r="BE19" s="966">
        <f t="shared" si="7"/>
        <v>0</v>
      </c>
      <c r="BF19" s="976">
        <f t="shared" si="7"/>
        <v>0</v>
      </c>
      <c r="BG19" s="1061">
        <f>IF(ISNUMBER(Datos!K19/Datos!J19),Datos!K19/Datos!J19," - ")</f>
        <v>0.86894409937888195</v>
      </c>
      <c r="BH19" s="1061">
        <f>IF(ISNUMBER(((Datos!L19/Datos!K19)*11)/factor_trimestre),((Datos!L19/Datos!K19)*11)/factor_trimestre," - ")</f>
        <v>9.9939242315939971</v>
      </c>
      <c r="BI19" s="959">
        <f>IF(ISNUMBER(Datos!J19/Datos!I19),Datos!J19/Datos!I19," - ")</f>
        <v>0.36269430051813473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-0.46395386094200575</v>
      </c>
      <c r="BM19" s="1035">
        <f>IF(ISNUMBER((Datos!P19-Datos!Q19+R19)/(Datos!R19-Datos!P19+Datos!Q19-R19)),(Datos!P19-Datos!Q19+R19)/(Datos!R19-Datos!P19+Datos!Q19-R19)," - ")</f>
        <v>-7.9476390836839637E-3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1066.6666666666667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2.2236106773543889</v>
      </c>
      <c r="F21" s="599">
        <f>IF(ISNUMBER(STDEV(F8:F18)),STDEV(F8:F18),"-")</f>
        <v>1464.111437015639</v>
      </c>
      <c r="G21" s="600">
        <f>IF(ISNUMBER(STDEV(G8:G18)),STDEV(G8:G18),"-")</f>
        <v>1416.0647819456094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691.390097316028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263.23265103597726</v>
      </c>
      <c r="BD21" s="599"/>
      <c r="BE21" s="599">
        <f>IF(ISNUMBER(STDEV(BE8:BE18)),STDEV(BE8:BE18),"-")</f>
        <v>0</v>
      </c>
      <c r="BF21" s="604">
        <f>IF(ISNUMBER(STDEV(BF8:BF18)),STDEV(BF8:BF18),"-")</f>
        <v>0</v>
      </c>
      <c r="BG21" s="914">
        <f>IF(ISNUMBER(STDEV(BG8:BG18)),STDEV(BG8:BG18),"-")</f>
        <v>2.5787355501146187</v>
      </c>
      <c r="BH21" s="918">
        <f>IF(ISNUMBER(STDEV(BH8:BH18)),STDEV(BH8:BH18),"-")</f>
        <v>5.3495443975156212</v>
      </c>
      <c r="BI21" s="253">
        <f>IF(ISNUMBER(STDEV(BI8:BI18)),STDEV(BI8:BI18),"-")</f>
        <v>0.16369075664134286</v>
      </c>
      <c r="BJ21" s="234" t="str">
        <f>IF(ISNUMBER(BL21/BM21),BL21/BM21," - ")</f>
        <v xml:space="preserve"> - </v>
      </c>
      <c r="BK21" s="626"/>
      <c r="BL21" s="607">
        <f>IF(ISNUMBER(STDEV(BL8:BL18)),STDEV(BL8:BL18),"-")</f>
        <v>0.33802925690264801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rjN8a3JokR3X3o01WEk280pega/hJgaLnoDg6r+MuEqKiC3eF66cSQa6pJWJGsXmNInpaDpCNN2+hCb4pKwEA==" saltValue="P2O1/9QdEgMRsg8dufyI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TOLEDO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467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420</v>
      </c>
      <c r="AA9" s="505" t="str">
        <f>IF(ISNUMBER(IF(J_V="SI",Datos!L9,Datos!L9+Datos!AB9)-IF(Monitorios="SI",Datos!CD9,0)),
                          IF(J_V="SI",Datos!L9,Datos!L9+Datos!AB9)-IF(Monitorios="SI",Datos!CD9,0),
                          " - ")</f>
        <v xml:space="preserve"> - </v>
      </c>
      <c r="AB9" s="503"/>
      <c r="AC9" s="503"/>
      <c r="AD9" s="516"/>
      <c r="AE9" s="516">
        <f>IF(ISNUMBER(Datos!R9),Datos!R9," - ")</f>
        <v>6290</v>
      </c>
      <c r="AF9" s="619" t="str">
        <f>IF(ISNUMBER(Datos!BV9),Datos!BV9," - ")</f>
        <v xml:space="preserve"> - </v>
      </c>
      <c r="AG9" s="506" t="str">
        <f>IF(ISNUMBER(Datos!DV9),Datos!DV9," - ")</f>
        <v xml:space="preserve"> - </v>
      </c>
      <c r="AH9" s="507"/>
      <c r="AI9" s="508"/>
      <c r="AJ9" s="506">
        <f>IF(ISNUMBER(Datos!M9),Datos!M9," - ")</f>
        <v>599</v>
      </c>
      <c r="AK9" s="619">
        <f>IF(ISNUMBER(Datos!N9),Datos!N9," - ")</f>
        <v>362</v>
      </c>
      <c r="AL9" s="619" t="str">
        <f>IF(ISNUMBER(Datos!BW9),Datos!BW9," - ")</f>
        <v xml:space="preserve"> - </v>
      </c>
      <c r="AM9" s="667" t="str">
        <f>IF(ISNUMBER(Datos!BX9),Datos!BX9," - ")</f>
        <v xml:space="preserve"> - </v>
      </c>
      <c r="AN9" s="668"/>
      <c r="AO9" s="669">
        <f>IF(ISNUMBER(((NºAsuntos!I9/NºAsuntos!G9)*11)/factor_trimestre),((NºAsuntos!I9/NºAsuntos!G9)*11)/factor_trimestre," - ")</f>
        <v>12.65800865800866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7.5284318436649048E-3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92</v>
      </c>
      <c r="G10" s="506">
        <f>IF(ISNUMBER(Datos!I10),Datos!I10," - ")</f>
        <v>92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98</v>
      </c>
      <c r="AB10" s="503"/>
      <c r="AC10" s="503"/>
      <c r="AD10" s="516"/>
      <c r="AE10" s="516">
        <f>IF(ISNUMBER(Datos!R10),Datos!R10," - ")</f>
        <v>21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122</v>
      </c>
      <c r="AA12" s="505" t="str">
        <f>IF(ISNUMBER(IF(J_V="SI",Datos!L12,Datos!L12+Datos!AB12)-IF(Monitorios="SI",Datos!CD12,0)),
                          IF(J_V="SI",Datos!L12,Datos!L12+Datos!AB12)-IF(Monitorios="SI",Datos!CD12,0),
                          " - ")</f>
        <v xml:space="preserve"> - </v>
      </c>
      <c r="AB12" s="503"/>
      <c r="AC12" s="503"/>
      <c r="AD12" s="516"/>
      <c r="AE12" s="516">
        <f>IF(ISNUMBER(Datos!R12),Datos!R12," - ")</f>
        <v>1861</v>
      </c>
      <c r="AF12" s="619" t="str">
        <f>IF(ISNUMBER(Datos!BV12),Datos!BV12," - ")</f>
        <v xml:space="preserve"> - </v>
      </c>
      <c r="AG12" s="506" t="str">
        <f>IF(ISNUMBER(Datos!DV12),Datos!DV12," - ")</f>
        <v xml:space="preserve"> - </v>
      </c>
      <c r="AH12" s="507"/>
      <c r="AI12" s="508"/>
      <c r="AJ12" s="506">
        <f>IF(ISNUMBER(Datos!M12),Datos!M12," - ")</f>
        <v>30</v>
      </c>
      <c r="AK12" s="619">
        <f>IF(ISNUMBER(Datos!N12),Datos!N12," - ")</f>
        <v>14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19.393939393939394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-6.0101010101010099E-2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92</v>
      </c>
      <c r="G13" s="1044">
        <f>SUBTOTAL(9,G8:G12)</f>
        <v>92</v>
      </c>
      <c r="H13" s="1054"/>
      <c r="I13" s="1044">
        <f t="shared" ref="I13:N13" si="0">SUBTOTAL(9,I8:I12)</f>
        <v>0</v>
      </c>
      <c r="J13" s="1013">
        <f t="shared" si="0"/>
        <v>0</v>
      </c>
      <c r="K13" s="1054">
        <f t="shared" si="0"/>
        <v>0</v>
      </c>
      <c r="L13" s="1054">
        <f t="shared" si="0"/>
        <v>0</v>
      </c>
      <c r="M13" s="1054">
        <f t="shared" si="0"/>
        <v>0</v>
      </c>
      <c r="N13" s="1054">
        <f t="shared" si="0"/>
        <v>470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542</v>
      </c>
      <c r="AA13" s="1046">
        <f t="shared" si="2"/>
        <v>98</v>
      </c>
      <c r="AB13" s="1046">
        <f t="shared" si="2"/>
        <v>0</v>
      </c>
      <c r="AC13" s="1046">
        <f t="shared" si="2"/>
        <v>0</v>
      </c>
      <c r="AD13" s="1046">
        <f t="shared" si="2"/>
        <v>0</v>
      </c>
      <c r="AE13" s="1046">
        <f t="shared" si="2"/>
        <v>8172</v>
      </c>
      <c r="AF13" s="1054">
        <f t="shared" si="2"/>
        <v>0</v>
      </c>
      <c r="AG13" s="1054">
        <f t="shared" si="2"/>
        <v>0</v>
      </c>
      <c r="AH13" s="1054">
        <f t="shared" si="2"/>
        <v>0</v>
      </c>
      <c r="AI13" s="1054">
        <f t="shared" si="2"/>
        <v>0</v>
      </c>
      <c r="AJ13" s="1054">
        <f t="shared" si="2"/>
        <v>629</v>
      </c>
      <c r="AK13" s="1054">
        <f t="shared" si="2"/>
        <v>376</v>
      </c>
      <c r="AL13" s="1054">
        <f t="shared" si="2"/>
        <v>0</v>
      </c>
      <c r="AM13" s="1054">
        <f t="shared" si="2"/>
        <v>0</v>
      </c>
      <c r="AN13" s="1054">
        <f t="shared" si="2"/>
        <v>0</v>
      </c>
      <c r="AO13" s="1050">
        <f>IF(ISNUMBER(((NºAsuntos!I13/NºAsuntos!G13)*11)/factor_trimestre),((NºAsuntos!I13/NºAsuntos!G13)*11)/factor_trimestre," - ")</f>
        <v>13.305050505050506</v>
      </c>
      <c r="AP13" s="1056" t="str">
        <f>IF(ISNUMBER(Datos!CI13/Datos!CJ13),Datos!CI13/Datos!CJ13," - ")</f>
        <v xml:space="preserve"> - </v>
      </c>
      <c r="AQ13" s="1074">
        <f t="shared" ref="AQ13:AV13" si="3">SUBTOTAL(9,AQ9:AQ12)</f>
        <v>0</v>
      </c>
      <c r="AR13" s="1074">
        <f t="shared" si="3"/>
        <v>-5.2572578257345196E-2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2652</v>
      </c>
      <c r="G15" s="506">
        <f>IF(ISNUMBER(IF(D_I="SI",Datos!I15,Datos!I15+Datos!AC15)),IF(D_I="SI",Datos!I15,Datos!I15+Datos!AC15)," - ")</f>
        <v>2652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23</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1296</v>
      </c>
      <c r="Z15" s="703">
        <f>IF(ISNUMBER(Datos!Q15),Datos!Q15," - ")</f>
        <v>12</v>
      </c>
      <c r="AA15" s="505">
        <f>IF(ISNUMBER(IF(D_I="SI",Datos!L15,Datos!L15+Datos!AF15)),IF(D_I="SI",Datos!L15,Datos!L15+Datos!AF15)," - ")</f>
        <v>2709</v>
      </c>
      <c r="AB15" s="503"/>
      <c r="AC15" s="503"/>
      <c r="AD15" s="516"/>
      <c r="AE15" s="516">
        <f>IF(ISNUMBER(Datos!R15),Datos!R15," - ")</f>
        <v>147</v>
      </c>
      <c r="AF15" s="619" t="str">
        <f>IF(ISNUMBER(Datos!BV15),Datos!BV15," - ")</f>
        <v xml:space="preserve"> - </v>
      </c>
      <c r="AG15" s="506"/>
      <c r="AH15" s="507"/>
      <c r="AI15" s="508"/>
      <c r="AJ15" s="506">
        <f>IF(ISNUMBER(Datos!M15),Datos!M15," - ")</f>
        <v>154</v>
      </c>
      <c r="AK15" s="619">
        <f>IF(ISNUMBER(Datos!N15),Datos!N15," - ")</f>
        <v>888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6.270833333333333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377</v>
      </c>
      <c r="G16" s="506">
        <f>IF(ISNUMBER(IF(D_I="SI",Datos!I16,Datos!I16+Datos!AC16)),IF(D_I="SI",Datos!I16,Datos!I16+Datos!AC16)," - ")</f>
        <v>368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72</v>
      </c>
      <c r="Z16" s="703">
        <f>IF(ISNUMBER(Datos!Q16),Datos!Q16," - ")</f>
        <v>10</v>
      </c>
      <c r="AA16" s="505">
        <f>IF(ISNUMBER(IF(D_I="SI",Datos!L16,Datos!L16+Datos!AF16)),IF(D_I="SI",Datos!L16,Datos!L16+Datos!AF16)," - ")</f>
        <v>314</v>
      </c>
      <c r="AB16" s="503"/>
      <c r="AC16" s="503"/>
      <c r="AD16" s="516"/>
      <c r="AE16" s="516">
        <f>IF(ISNUMBER(Datos!R16),Datos!R16," - ")</f>
        <v>162</v>
      </c>
      <c r="AF16" s="619" t="str">
        <f>IF(ISNUMBER(Datos!BV16),Datos!BV16," - ")</f>
        <v xml:space="preserve"> - </v>
      </c>
      <c r="AG16" s="506"/>
      <c r="AH16" s="507"/>
      <c r="AI16" s="508"/>
      <c r="AJ16" s="506">
        <f>IF(ISNUMBER(Datos!M16),Datos!M16," - ")</f>
        <v>7</v>
      </c>
      <c r="AK16" s="619">
        <f>IF(ISNUMBER(Datos!N16),Datos!N16," - ")</f>
        <v>37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13.083333333333332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80</v>
      </c>
      <c r="Z17" s="703">
        <f>IF(ISNUMBER(Datos!Q17),Datos!Q17," - ")</f>
        <v>0</v>
      </c>
      <c r="AA17" s="505">
        <f>IF(ISNUMBER(Datos!L17),Datos!L17,"-")</f>
        <v>116</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18</v>
      </c>
      <c r="AK17" s="619">
        <f>IF(ISNUMBER(Datos!N17),Datos!N17," - ")</f>
        <v>29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4.3499999999999996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3029</v>
      </c>
      <c r="G18" s="1044">
        <f>SUBTOTAL(9,G15:G17)</f>
        <v>3108</v>
      </c>
      <c r="H18" s="1078">
        <f>SUBTOTAL(9,H15:H17)</f>
        <v>0</v>
      </c>
      <c r="I18" s="1057">
        <f>SUBTOTAL(9,I15:I17)</f>
        <v>0</v>
      </c>
      <c r="J18" s="1013">
        <f>SUBTOTAL(9,J14:J17)</f>
        <v>0</v>
      </c>
      <c r="K18" s="1078">
        <f t="shared" ref="K18:S18" si="4">SUBTOTAL(9,K15:K17)</f>
        <v>0</v>
      </c>
      <c r="L18" s="1078">
        <f t="shared" si="4"/>
        <v>0</v>
      </c>
      <c r="M18" s="1078">
        <f t="shared" si="4"/>
        <v>0</v>
      </c>
      <c r="N18" s="1078">
        <f t="shared" si="4"/>
        <v>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1448</v>
      </c>
      <c r="Z18" s="1078">
        <f t="shared" si="5"/>
        <v>22</v>
      </c>
      <c r="AA18" s="1078">
        <f t="shared" si="5"/>
        <v>3139</v>
      </c>
      <c r="AB18" s="1078">
        <f t="shared" si="5"/>
        <v>0</v>
      </c>
      <c r="AC18" s="1078">
        <f t="shared" si="5"/>
        <v>0</v>
      </c>
      <c r="AD18" s="1078">
        <f t="shared" si="5"/>
        <v>0</v>
      </c>
      <c r="AE18" s="1078">
        <f t="shared" si="5"/>
        <v>316</v>
      </c>
      <c r="AF18" s="1078">
        <f t="shared" si="5"/>
        <v>0</v>
      </c>
      <c r="AG18" s="1078">
        <f t="shared" si="5"/>
        <v>0</v>
      </c>
      <c r="AH18" s="1078">
        <f t="shared" si="5"/>
        <v>0</v>
      </c>
      <c r="AI18" s="1078">
        <f t="shared" si="5"/>
        <v>0</v>
      </c>
      <c r="AJ18" s="1078">
        <f t="shared" si="5"/>
        <v>179</v>
      </c>
      <c r="AK18" s="1078">
        <f t="shared" si="5"/>
        <v>954</v>
      </c>
      <c r="AL18" s="1078">
        <f t="shared" si="5"/>
        <v>0</v>
      </c>
      <c r="AM18" s="1078">
        <f t="shared" si="5"/>
        <v>0</v>
      </c>
      <c r="AN18" s="1078">
        <f t="shared" si="5"/>
        <v>0</v>
      </c>
      <c r="AO18" s="1080">
        <f>IF(ISNUMBER(((NºAsuntos!I18/NºAsuntos!G18)*11)/factor_trimestre),((NºAsuntos!I18/NºAsuntos!G18)*11)/factor_trimestre," - ")</f>
        <v>6.5034530386740332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3121</v>
      </c>
      <c r="G19" s="966">
        <f t="shared" si="7"/>
        <v>3200</v>
      </c>
      <c r="H19" s="967">
        <f t="shared" si="7"/>
        <v>0</v>
      </c>
      <c r="I19" s="966">
        <f t="shared" si="7"/>
        <v>0</v>
      </c>
      <c r="J19" s="968">
        <f t="shared" si="7"/>
        <v>0</v>
      </c>
      <c r="K19" s="966">
        <f t="shared" si="7"/>
        <v>0</v>
      </c>
      <c r="L19" s="969">
        <f t="shared" si="7"/>
        <v>0</v>
      </c>
      <c r="M19" s="966">
        <f t="shared" si="7"/>
        <v>0</v>
      </c>
      <c r="N19" s="967">
        <f t="shared" si="7"/>
        <v>496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1448</v>
      </c>
      <c r="Z19" s="973">
        <f t="shared" si="8"/>
        <v>564</v>
      </c>
      <c r="AA19" s="974">
        <f t="shared" si="8"/>
        <v>3237</v>
      </c>
      <c r="AB19" s="974">
        <f t="shared" si="8"/>
        <v>0</v>
      </c>
      <c r="AC19" s="974">
        <f t="shared" si="8"/>
        <v>0</v>
      </c>
      <c r="AD19" s="975">
        <f t="shared" si="8"/>
        <v>0</v>
      </c>
      <c r="AE19" s="975">
        <f t="shared" si="8"/>
        <v>8488</v>
      </c>
      <c r="AF19" s="976">
        <f t="shared" si="8"/>
        <v>0</v>
      </c>
      <c r="AG19" s="977">
        <f t="shared" si="8"/>
        <v>0</v>
      </c>
      <c r="AH19" s="978">
        <f t="shared" si="8"/>
        <v>0</v>
      </c>
      <c r="AI19" s="976">
        <f t="shared" si="8"/>
        <v>0</v>
      </c>
      <c r="AJ19" s="966">
        <f t="shared" si="8"/>
        <v>808</v>
      </c>
      <c r="AK19" s="966">
        <f t="shared" si="8"/>
        <v>1330</v>
      </c>
      <c r="AL19" s="966">
        <f t="shared" si="8"/>
        <v>0</v>
      </c>
      <c r="AM19" s="979">
        <f t="shared" si="8"/>
        <v>0</v>
      </c>
      <c r="AN19" s="969">
        <f>IF(ISNUMBER(Datos!K19/Datos!J19),Datos!K19/Datos!J19," - ")</f>
        <v>0.86894409937888195</v>
      </c>
      <c r="AO19" s="969">
        <f>IF(ISNUMBER(FIND("06",Criterios!A8,1)),(IF(ISNUMBER(((Datos!R19/Datos!Q19)*11)/factor_trimestre),((Datos!R19/Datos!Q19)*11)/factor_trimestre," - ")),(IF(ISNUMBER(((Datos!L19/Datos!K19)*11)/factor_trimestre),((Datos!L19/Datos!K19)*11)/factor_trimestre," - ")))</f>
        <v>9.9939242315939971</v>
      </c>
      <c r="AP19" s="980" t="str">
        <f>IF(ISNUMBER(Datos!CI19/Datos!CJ19),Datos!CI19/Datos!CJ19," - ")</f>
        <v xml:space="preserve"> - </v>
      </c>
      <c r="AQ19" s="980">
        <f>IF(OR(ISNUMBER(FIND("01",Criterios!A8,1)),ISNUMBER(FIND("02",Criterios!A8,1)),ISNUMBER(FIND("03",Criterios!A8,1)),ISNUMBER(FIND("04",Criterios!A8,1))),(J19-Y19+K19)/(F19-K19),(I19-Y19+K19)/(F19-K19))</f>
        <v>-0.46395386094200575</v>
      </c>
      <c r="AR19" s="980">
        <f>IF(ISNUMBER((Datos!P19-Datos!Q19+O19)/(Datos!R19-Datos!P19+Datos!Q19-O19)),(Datos!P19-Datos!Q19+O19)/(Datos!R19-Datos!P19+Datos!Q19-O19)," - ")</f>
        <v>-7.9476390836839637E-3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1066.6666666666667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1464.111437015639</v>
      </c>
      <c r="G21" s="600">
        <f>IF(ISNUMBER(STDEV(G8:G18)),STDEV(G8:G18),"-")</f>
        <v>1416.0647819456094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263.23265103597726</v>
      </c>
      <c r="AK21" s="256"/>
      <c r="AL21" s="256">
        <f>IF(ISNUMBER(STDEV(AL8:AL18)),STDEV(AL8:AL18),"-")</f>
        <v>0</v>
      </c>
      <c r="AM21" s="258">
        <f>IF(ISNUMBER(STDEV(AM8:AM18)),STDEV(AM8:AM18),"-")</f>
        <v>0</v>
      </c>
      <c r="AN21" s="586">
        <f>IF(ISNUMBER(STDEV(AN8:AN18)),STDEV(AN8:AN18),"-")</f>
        <v>0</v>
      </c>
      <c r="AO21" s="587">
        <f>IF(ISNUMBER(STDEV(AO8:AO18)),STDEV(AO8:AO18),"-")</f>
        <v>5.3130792589456854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HJvIiCLyCwTclAFJ4DVhj79MCGeCVlhWlcPu/SF+nhFP/08qa5lAOFvMYv2ZG7Dxzz2BsJOHdXY94Q0Et/xcA==" saltValue="eJ9zirHLfl6G9D6vxCir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dlBAiz1HrH4qStjfR9QNNsgyTMS36IJvPdDXONIAs+5GaLg6W75uj82iyh9x6tQzVR+pB1/xcnRtOXNkaIZ/A==" saltValue="WAHlKd35CB7HZUF9xOId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3eskbklq/kuWkVfFCF2vyTJhNrbZUSc/qldNYEu+7cSzoDKz20vLydWWN5Gc3sKNid7GH7KRwEW4wMN6D7yFQ==" saltValue="pa9GHXn6B/HP4VLy/epG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TOLEDO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0.42356902356902359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0.29950852886622115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6hh4TXMR4z08270IcHlAyaivznzoLM4YPFGZ3REA50PyfBP5Zuh0MCk9eoWdYGp3H812vIFcftB3SeuC+p6Bg==" saltValue="cp9kH7lCwGNaU9MQSTnO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To3Sbm/SOQUyzPpyBKfbcV/cEP2M8sbTN4wyTB/5CAXolPm+0SJQNg3XvFed3uvBdDgntjvSd/IBw14+JVKd8g==" saltValue="XiasugnN3ACO+VKgD4/a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TOLEDO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5360</v>
      </c>
      <c r="D9" s="415">
        <f>IF(ISNUMBER(C9/Datos!BH9),C9/Datos!BH9," - ")</f>
        <v>1072</v>
      </c>
      <c r="E9" s="414">
        <f>IF(ISNUMBER(IF(J_V="SI",Datos!J9,Datos!J9+Datos!Z9)),IF(J_V="SI",Datos!J9,Datos!J9+Datos!Z9)," - ")</f>
        <v>1912</v>
      </c>
      <c r="F9" s="415">
        <f>IF(ISNUMBER(E9/B9),E9/B9," - ")</f>
        <v>382.4</v>
      </c>
      <c r="G9" s="414">
        <f>IF(ISNUMBER(IF(J_V="SI",Datos!K9,Datos!K9+Datos!AA9)),IF(J_V="SI",Datos!K9,Datos!K9+Datos!AA9)," - ")</f>
        <v>1386</v>
      </c>
      <c r="H9" s="415">
        <f>IF(ISNUMBER(G9/B9),G9/B9," - ")</f>
        <v>277.2</v>
      </c>
      <c r="I9" s="414">
        <f>IF(ISNUMBER(IF(J_V="SI",Datos!L9,Datos!L9+Datos!AB9)),IF(J_V="SI",Datos!L9,Datos!L9+Datos!AB9)," - ")</f>
        <v>5848</v>
      </c>
      <c r="J9" s="415">
        <f>IF(ISNUMBER(I9/B9),I9/B9," - ")</f>
        <v>1169.5999999999999</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92</v>
      </c>
      <c r="D10" s="415">
        <f>IF(ISNUMBER(C10/Datos!BH10),C10/Datos!BH10," - ")</f>
        <v>92</v>
      </c>
      <c r="E10" s="414">
        <f>IF(ISNUMBER(Datos!J10),Datos!J10," - ")</f>
        <v>6</v>
      </c>
      <c r="F10" s="415">
        <f>IF(ISNUMBER(E10/B10),E10/B10," - ")</f>
        <v>6</v>
      </c>
      <c r="G10" s="414">
        <f>IF(ISNUMBER(Datos!K10),Datos!K10," - ")</f>
        <v>0</v>
      </c>
      <c r="H10" s="415">
        <f>IF(ISNUMBER(G10/B10),G10/B10," - ")</f>
        <v>0</v>
      </c>
      <c r="I10" s="414">
        <f>IF(ISNUMBER(Datos!L10),Datos!L10," - ")</f>
        <v>98</v>
      </c>
      <c r="J10" s="415">
        <f>IF(ISNUMBER(I10/B10),I10/B10," - ")</f>
        <v>98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694</v>
      </c>
      <c r="D12" s="415" t="str">
        <f>IF(ISNUMBER(C12/Datos!BH12),C12/Datos!BH12," - ")</f>
        <v xml:space="preserve"> - </v>
      </c>
      <c r="E12" s="414">
        <f>IF(ISNUMBER(IF(J_V="SI",Datos!J12,Datos!J12+Datos!Z12)),IF(J_V="SI",Datos!J12,Datos!J12+Datos!Z12)," - ")</f>
        <v>45</v>
      </c>
      <c r="F12" s="415" t="str">
        <f>IF(ISNUMBER(E12/B12),E12/B12," - ")</f>
        <v xml:space="preserve"> - </v>
      </c>
      <c r="G12" s="414">
        <f>IF(ISNUMBER(IF(J_V="SI",Datos!K12,Datos!K12+Datos!AA12)),IF(J_V="SI",Datos!K12,Datos!K12+Datos!AA12)," - ")</f>
        <v>99</v>
      </c>
      <c r="H12" s="415" t="str">
        <f>IF(ISNUMBER(G12/B12),G12/B12," - ")</f>
        <v xml:space="preserve"> - </v>
      </c>
      <c r="I12" s="414">
        <f>IF(ISNUMBER(IF(J_V="SI",Datos!L12,Datos!L12+Datos!AB12)),IF(J_V="SI",Datos!L12,Datos!L12+Datos!AB12)," - ")</f>
        <v>640</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6146</v>
      </c>
      <c r="D13" s="996" t="str">
        <f>IF(ISNUMBER(C13/Datos!BI13),C13/Datos!BI13," - ")</f>
        <v xml:space="preserve"> - </v>
      </c>
      <c r="E13" s="995">
        <f>SUBTOTAL(9,E8:E12)</f>
        <v>1963</v>
      </c>
      <c r="F13" s="996">
        <f>IF(ISNUMBER(E13/B13),E13/B13," - ")</f>
        <v>392.6</v>
      </c>
      <c r="G13" s="995">
        <f>SUBTOTAL(9,G8:G12)</f>
        <v>1485</v>
      </c>
      <c r="H13" s="996">
        <f>IF(ISNUMBER(G13/B13),G13/B13," - ")</f>
        <v>297</v>
      </c>
      <c r="I13" s="995">
        <f>SUBTOTAL(9,I8:I12)</f>
        <v>6586</v>
      </c>
      <c r="J13" s="996">
        <f>IF(ISNUMBER(I13/B13),I13/B13," - ")</f>
        <v>1317.2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2652</v>
      </c>
      <c r="D15" s="415">
        <f>IF(ISNUMBER(C15/Datos!BH15),C15/Datos!BH15," - ")</f>
        <v>884</v>
      </c>
      <c r="E15" s="414">
        <f>IF(ISNUMBER(IF(D_I="SI",Datos!J15,Datos!J15+Datos!AD15)),IF(D_I="SI",Datos!J15,Datos!J15+Datos!AD15)," - ")</f>
        <v>1353</v>
      </c>
      <c r="F15" s="415">
        <f>IF(ISNUMBER(E15/B15),E15/B15," - ")</f>
        <v>451</v>
      </c>
      <c r="G15" s="414">
        <f>IF(ISNUMBER(IF(D_I="SI",Datos!K15,Datos!K15+Datos!AE15)),IF(D_I="SI",Datos!K15,Datos!K15+Datos!AE15)," - ")</f>
        <v>1296</v>
      </c>
      <c r="H15" s="415">
        <f>IF(ISNUMBER(G15/B15),G15/B15," - ")</f>
        <v>432</v>
      </c>
      <c r="I15" s="414">
        <f>IF(ISNUMBER(IF(D_I="SI",Datos!L15,Datos!L15+Datos!AF15)),IF(D_I="SI",Datos!L15,Datos!L15+Datos!AF15)," - ")</f>
        <v>2709</v>
      </c>
      <c r="J15" s="415">
        <f>IF(ISNUMBER(I15/B15),I15/B15," - ")</f>
        <v>903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368</v>
      </c>
      <c r="D16" s="415" t="str">
        <f>IF(ISNUMBER(C16/Datos!BH16),C16/Datos!BH16," - ")</f>
        <v xml:space="preserve"> - </v>
      </c>
      <c r="E16" s="414">
        <f>IF(ISNUMBER(IF(D_I="SI",Datos!J16,Datos!J16+Datos!AD16)),IF(D_I="SI",Datos!J16,Datos!J16+Datos!AD16)," - ")</f>
        <v>9</v>
      </c>
      <c r="F16" s="415" t="str">
        <f>IF(ISNUMBER(E16/B16),E16/B16," - ")</f>
        <v xml:space="preserve"> - </v>
      </c>
      <c r="G16" s="414">
        <f>IF(ISNUMBER(IF(D_I="SI",Datos!K16,Datos!K16+Datos!AE16)),IF(D_I="SI",Datos!K16,Datos!K16+Datos!AE16)," - ")</f>
        <v>72</v>
      </c>
      <c r="H16" s="415" t="str">
        <f>IF(ISNUMBER(G16/B16),G16/B16," - ")</f>
        <v xml:space="preserve"> - </v>
      </c>
      <c r="I16" s="414">
        <f>IF(ISNUMBER(IF(D_I="SI",Datos!L16,Datos!L16+Datos!AF16)),IF(D_I="SI",Datos!L16,Datos!L16+Datos!AF16)," - ")</f>
        <v>314</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88</v>
      </c>
      <c r="D17" s="415">
        <f>IF(ISNUMBER(C17/Datos!BH17),C17/Datos!BH17," - ")</f>
        <v>88</v>
      </c>
      <c r="E17" s="414">
        <f>IF(ISNUMBER(IF(D_I="SI",Datos!J17,Datos!J17+Datos!AD17)),IF(D_I="SI",Datos!J17,Datos!J17+Datos!AD17)," - ")</f>
        <v>108</v>
      </c>
      <c r="F17" s="415">
        <f>IF(ISNUMBER(E17/B17),E17/B17," - ")</f>
        <v>108</v>
      </c>
      <c r="G17" s="414">
        <f>IF(ISNUMBER(IF(D_I="SI",Datos!K17,Datos!K17+Datos!AE17)),IF(D_I="SI",Datos!K17,Datos!K17+Datos!AE17)," - ")</f>
        <v>80</v>
      </c>
      <c r="H17" s="415">
        <f>IF(ISNUMBER(G17/B17),G17/B17," - ")</f>
        <v>80</v>
      </c>
      <c r="I17" s="414">
        <f>IF(ISNUMBER(IF(D_I="SI",Datos!L17,Datos!L17+Datos!AF17)),IF(D_I="SI",Datos!L17,Datos!L17+Datos!AF17)," - ")</f>
        <v>116</v>
      </c>
      <c r="J17" s="415">
        <f>IF(ISNUMBER(I17/B17),I17/B17," - ")</f>
        <v>116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3108</v>
      </c>
      <c r="D18" s="996" t="str">
        <f>IF(ISNUMBER(C18/Datos!BI18),C18/Datos!BI18," - ")</f>
        <v xml:space="preserve"> - </v>
      </c>
      <c r="E18" s="995">
        <f>SUBTOTAL(9,E14:E17)</f>
        <v>1470</v>
      </c>
      <c r="F18" s="996">
        <f>IF(ISNUMBER(E18/B18),E18/B18," - ")</f>
        <v>490</v>
      </c>
      <c r="G18" s="995">
        <f>SUBTOTAL(9,G14:G17)</f>
        <v>1448</v>
      </c>
      <c r="H18" s="996">
        <f>IF(ISNUMBER(G18/B18),G18/B18," - ")</f>
        <v>482.66666666666669</v>
      </c>
      <c r="I18" s="995">
        <f>SUBTOTAL(9,I14:I17)</f>
        <v>3139</v>
      </c>
      <c r="J18" s="996">
        <f>IF(ISNUMBER(I18/B18),I18/B18," - ")</f>
        <v>1046.3333333333333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9254</v>
      </c>
      <c r="D19" s="941" t="str">
        <f>IF(ISNUMBER(C19/Datos!BI19),C19/Datos!BI19," - ")</f>
        <v xml:space="preserve"> - </v>
      </c>
      <c r="E19" s="940">
        <f>SUBTOTAL(9,E9:E18)</f>
        <v>3433</v>
      </c>
      <c r="F19" s="941">
        <f>IF(ISNUMBER(E19/B19),E19/B19," - ")</f>
        <v>429.125</v>
      </c>
      <c r="G19" s="940">
        <f>SUBTOTAL(9,G9:G18)</f>
        <v>2933</v>
      </c>
      <c r="H19" s="941">
        <f>IF(ISNUMBER(G19/B19),G19/B19," - ")</f>
        <v>366.625</v>
      </c>
      <c r="I19" s="940">
        <f>SUBTOTAL(9,I9:I18)</f>
        <v>9725</v>
      </c>
      <c r="J19" s="941">
        <f>IF(ISNUMBER(I19/B19),I19/B19," - ")</f>
        <v>1215.625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s5pN82x/vfADkUwJt6s38MWMY3GZxoWi8XIxp3cLFXTKml9M/Gn2eTV73IG0M3uE6ylP1YrCsA8U9YXgNSac6Q==" saltValue="Cd9nGHamx5rBpeXBE/mw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TOLEDO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92</v>
      </c>
      <c r="G10" s="802">
        <f>IF(ISNUMBER(Datos!I10),Datos!I10," - ")</f>
        <v>92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98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1861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30</v>
      </c>
      <c r="AM12" s="810">
        <f>IF(ISNUMBER(Datos!N12+DatosP!N16),Datos!N12+DatosP!N16," - ")</f>
        <v>14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19.393939393939394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-6.0101010101010099E-2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92</v>
      </c>
      <c r="G13" s="1084">
        <f t="shared" si="0"/>
        <v>92</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122</v>
      </c>
      <c r="AE13" s="1085">
        <f t="shared" si="1"/>
        <v>0</v>
      </c>
      <c r="AF13" s="1085">
        <f t="shared" si="1"/>
        <v>98</v>
      </c>
      <c r="AG13" s="1085">
        <f t="shared" si="1"/>
        <v>0</v>
      </c>
      <c r="AH13" s="1085">
        <f t="shared" si="1"/>
        <v>1861</v>
      </c>
      <c r="AI13" s="1085">
        <f t="shared" si="1"/>
        <v>0</v>
      </c>
      <c r="AJ13" s="1085">
        <f t="shared" si="1"/>
        <v>0</v>
      </c>
      <c r="AK13" s="1085">
        <f t="shared" si="1"/>
        <v>0</v>
      </c>
      <c r="AL13" s="1085">
        <f t="shared" si="1"/>
        <v>30</v>
      </c>
      <c r="AM13" s="1085">
        <f t="shared" si="1"/>
        <v>14</v>
      </c>
      <c r="AN13" s="1085">
        <f t="shared" si="1"/>
        <v>0</v>
      </c>
      <c r="AO13" s="1085">
        <f t="shared" si="1"/>
        <v>0</v>
      </c>
      <c r="AP13" s="1090">
        <f>IF(ISNUMBER(((Datos!L13/Datos!K13)*11)/factor_trimestre),((Datos!L13/Datos!K13)*11)/factor_trimestre," - ")</f>
        <v>13.737777777777778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-6.0101010101010099E-2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6.5034530386740332</v>
      </c>
      <c r="AQ18" s="1090">
        <f>IF(ISNUMBER(((Datos!M18/Datos!L18)*11)/factor_trimestre),((Datos!M18/Datos!L18)*11)/factor_trimestre," - ")</f>
        <v>0.17107359031538708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1.282051282051282E-2</v>
      </c>
      <c r="AW18" s="1092">
        <f>IF(ISNUMBER((Datos!Q18-Datos!R18)/(Datos!S18-Datos!Q18+Datos!R18)),(Datos!Q18-Datos!R18)/(Datos!S18-Datos!Q18+Datos!R18)," - ")</f>
        <v>-0.11360123647604328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92</v>
      </c>
      <c r="G19" s="1097">
        <f t="shared" si="4"/>
        <v>92</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122</v>
      </c>
      <c r="AE19" s="1103">
        <f t="shared" si="5"/>
        <v>0</v>
      </c>
      <c r="AF19" s="1104">
        <f t="shared" si="5"/>
        <v>98</v>
      </c>
      <c r="AG19" s="1104">
        <f t="shared" si="5"/>
        <v>0</v>
      </c>
      <c r="AH19" s="1104">
        <f t="shared" si="5"/>
        <v>1861</v>
      </c>
      <c r="AI19" s="1104">
        <f t="shared" si="5"/>
        <v>0</v>
      </c>
      <c r="AJ19" s="1105">
        <f t="shared" si="5"/>
        <v>0</v>
      </c>
      <c r="AK19" s="1105">
        <f t="shared" si="5"/>
        <v>0</v>
      </c>
      <c r="AL19" s="1097">
        <f t="shared" si="5"/>
        <v>30</v>
      </c>
      <c r="AM19" s="1097">
        <f t="shared" si="5"/>
        <v>14</v>
      </c>
      <c r="AN19" s="1097">
        <f t="shared" si="5"/>
        <v>0</v>
      </c>
      <c r="AO19" s="1097">
        <f t="shared" si="5"/>
        <v>0</v>
      </c>
      <c r="AP19" s="1097">
        <f>IF(ISNUMBER(((Datos!L19/Datos!K19)*11)/factor_trimestre),((Datos!L19/Datos!K19)*11)/factor_trimestre," - ")</f>
        <v>9.9939242315939971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-7.9476390836839637E-3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61.333333333333336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53.116224765445565</v>
      </c>
      <c r="G21" s="870">
        <f>IF(ISNUMBER(STDEV(G8:G18)),STDEV(G8:G18),"-")</f>
        <v>53.116224765445565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17.320508075688775</v>
      </c>
      <c r="AM21" s="869"/>
      <c r="AN21" s="869">
        <f>IF(ISNUMBER(STDEV(AN8:AN18)),STDEV(AN8:AN18),"-")</f>
        <v>0</v>
      </c>
      <c r="AO21" s="875">
        <f>IF(ISNUMBER(STDEV(AO8:AO18)),STDEV(AO8:AO18),"-")</f>
        <v>0</v>
      </c>
      <c r="AP21" s="922">
        <f>IF(ISNUMBER(STDEV(AP8:AP18)),STDEV(AP8:AP18),"-")</f>
        <v>6.4613241307314002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Ry1ph7k8R7u7O4wHIlBWz1uh+nox28NI+GwWMifB19LYhJwcax8WNP1AOX7SCk6FldipPA1UWFHVNmz8EtvheQ==" saltValue="cGKOpWIhgLcVS/j2raud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TOLEDO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gYOtLw6K78bpGpCchFCZ7b0Vyx45/+/XTcrhOGypLhfcWu1g50oXBV3OfFdQc1eOe+FOPbe5LKg0FqtP4A7Vg==" saltValue="pRCFBd329rtdl/jPojwA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TOLEDO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599</v>
      </c>
      <c r="E9" s="415">
        <f t="shared" ref="E9:E13" si="0">IF(ISNUMBER(D9/B9),D9/B9," - ")</f>
        <v>119.8</v>
      </c>
      <c r="F9" s="414">
        <f>IF(ISNUMBER(Datos!N9),Datos!N9," - ")</f>
        <v>362</v>
      </c>
      <c r="G9" s="415">
        <f t="shared" ref="G9:G13" si="1">IF(ISNUMBER(F9/B9),F9/B9," - ")</f>
        <v>72.400000000000006</v>
      </c>
      <c r="H9" s="414">
        <f>IF(ISNUMBER(Datos!O9),Datos!O9," - ")</f>
        <v>476</v>
      </c>
      <c r="I9" s="415">
        <f>IF(ISNUMBER(H9/B9),H9/B9," - ")</f>
        <v>95.2</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f>IF(ISNUMBER(Datos!M12),Datos!M12," - ")</f>
        <v>30</v>
      </c>
      <c r="E12" s="415" t="str">
        <f t="shared" si="0"/>
        <v xml:space="preserve"> - </v>
      </c>
      <c r="F12" s="414">
        <f>IF(ISNUMBER(Datos!N12),Datos!N12," - ")</f>
        <v>14</v>
      </c>
      <c r="G12" s="415" t="str">
        <f t="shared" si="1"/>
        <v xml:space="preserve"> - </v>
      </c>
      <c r="H12" s="414">
        <f>IF(ISNUMBER(Datos!O12),Datos!O12," - ")</f>
        <v>120</v>
      </c>
      <c r="I12" s="415" t="str">
        <f t="shared" si="2"/>
        <v xml:space="preserve"> - </v>
      </c>
    </row>
    <row r="13" spans="1:9" ht="14.25" thickTop="1" thickBot="1">
      <c r="A13" s="994" t="str">
        <f>Datos!A13</f>
        <v>TOTAL</v>
      </c>
      <c r="B13" s="995">
        <f>Datos!AO13</f>
        <v>6</v>
      </c>
      <c r="C13" s="997">
        <f>Datos!AR13</f>
        <v>5</v>
      </c>
      <c r="D13" s="995">
        <f>SUBTOTAL(9,D9:D12)</f>
        <v>629</v>
      </c>
      <c r="E13" s="996">
        <f t="shared" si="0"/>
        <v>104.83333333333333</v>
      </c>
      <c r="F13" s="995">
        <f>SUBTOTAL(9,F9:F12)</f>
        <v>376</v>
      </c>
      <c r="G13" s="996">
        <f t="shared" si="1"/>
        <v>62.666666666666664</v>
      </c>
      <c r="H13" s="995">
        <f>SUBTOTAL(9,H9:H12)</f>
        <v>596</v>
      </c>
      <c r="I13" s="996">
        <f>IF(ISNUMBER(H13/B13),H13/B13," - ")</f>
        <v>99.333333333333329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154</v>
      </c>
      <c r="E15" s="415">
        <f t="shared" ref="E15:E18" si="3">IF(ISNUMBER(D15/B15),D15/B15," - ")</f>
        <v>51.333333333333336</v>
      </c>
      <c r="F15" s="414">
        <f>IF(ISNUMBER(Datos!N15),Datos!N15," - ")</f>
        <v>888</v>
      </c>
      <c r="G15" s="415">
        <f t="shared" ref="G15:G18" si="4">IF(ISNUMBER(F15/B15),F15/B15," - ")</f>
        <v>296</v>
      </c>
      <c r="H15" s="414">
        <f>IF(ISNUMBER(Datos!O15),Datos!O15," - ")</f>
        <v>2</v>
      </c>
      <c r="I15" s="415">
        <f t="shared" ref="I15:I17" si="5">IF(ISNUMBER(H15/B15),H15/B15," - ")</f>
        <v>0.66666666666666663</v>
      </c>
    </row>
    <row r="16" spans="1:9">
      <c r="A16" s="413" t="str">
        <f>Datos!A16</f>
        <v xml:space="preserve">Jdos. 1ª Instª. e Instr.                        </v>
      </c>
      <c r="B16" s="443">
        <f>Datos!AO16</f>
        <v>0</v>
      </c>
      <c r="C16" s="444">
        <f>Datos!AQ16</f>
        <v>0</v>
      </c>
      <c r="D16" s="414">
        <f>IF(ISNUMBER(Datos!M16),Datos!M16," - ")</f>
        <v>7</v>
      </c>
      <c r="E16" s="415" t="str">
        <f t="shared" si="3"/>
        <v xml:space="preserve"> - </v>
      </c>
      <c r="F16" s="414">
        <f>IF(ISNUMBER(Datos!N16),Datos!N16," - ")</f>
        <v>37</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29</v>
      </c>
      <c r="G17" s="415">
        <f>IF(ISNUMBER(F17/B17),F17/B17," - ")</f>
        <v>29</v>
      </c>
      <c r="H17" s="414">
        <f>IF(ISNUMBER(Datos!O17),Datos!O17," - ")</f>
        <v>0</v>
      </c>
      <c r="I17" s="415">
        <f t="shared" si="5"/>
        <v>0</v>
      </c>
    </row>
    <row r="18" spans="1:9" ht="14.25" thickTop="1" thickBot="1">
      <c r="A18" s="994" t="str">
        <f>Datos!A18</f>
        <v>TOTAL</v>
      </c>
      <c r="B18" s="995">
        <f>Datos!AO18</f>
        <v>4</v>
      </c>
      <c r="C18" s="997">
        <f>Datos!AR18</f>
        <v>3</v>
      </c>
      <c r="D18" s="995">
        <f>SUBTOTAL(9,D15:D17)</f>
        <v>179</v>
      </c>
      <c r="E18" s="996">
        <f t="shared" si="3"/>
        <v>44.75</v>
      </c>
      <c r="F18" s="995">
        <f>SUBTOTAL(9,F15:F17)</f>
        <v>954</v>
      </c>
      <c r="G18" s="996">
        <f t="shared" si="4"/>
        <v>238.5</v>
      </c>
      <c r="H18" s="995">
        <f>SUBTOTAL(9,H15:H17)</f>
        <v>2</v>
      </c>
      <c r="I18" s="996">
        <f>IF(ISNUMBER(H18/B18),H18/B18," - ")</f>
        <v>0.5</v>
      </c>
    </row>
    <row r="19" spans="1:9" ht="14.25" thickTop="1" thickBot="1">
      <c r="A19" s="939" t="str">
        <f>Datos!A19</f>
        <v>TOTAL JURISDICCIONES</v>
      </c>
      <c r="B19" s="940">
        <f>Datos!AP19</f>
        <v>8</v>
      </c>
      <c r="C19" s="940">
        <f>Datos!AR19</f>
        <v>8</v>
      </c>
      <c r="D19" s="940">
        <f>SUBTOTAL(9,D8:D18)</f>
        <v>808</v>
      </c>
      <c r="E19" s="941">
        <f>IF(ISNUMBER(D19/B19),D19/B19," - ")</f>
        <v>101</v>
      </c>
      <c r="F19" s="940">
        <f>SUBTOTAL(9,F8:F18)</f>
        <v>1330</v>
      </c>
      <c r="G19" s="941">
        <f>IF(ISNUMBER(F19/B19),F19/B19," - ")</f>
        <v>166.25</v>
      </c>
      <c r="H19" s="940">
        <f>SUBTOTAL(9,H8:H18)</f>
        <v>598</v>
      </c>
      <c r="I19" s="941">
        <f>IF(ISNUMBER(H19/B19),H19/B19," - ")</f>
        <v>74.75</v>
      </c>
    </row>
    <row r="22" spans="1:9">
      <c r="A22" s="402" t="str">
        <f>Criterios!A4</f>
        <v>Fecha Informe: 06 oct. 2023</v>
      </c>
    </row>
    <row r="27" spans="1:9">
      <c r="A27" s="425"/>
    </row>
  </sheetData>
  <sheetProtection algorithmName="SHA-512" hashValue="/vv7NRkUIzqQiS2LN/F3O1wfIJG5g5CDMqgz8HxzNxQ6Z/5JIaRN8QivRjB+KX+9gY3XZAZPFn6X7GYksUiYYQ==" saltValue="0FReWKNMotZEy0T5dxBu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TOLEDO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467</v>
      </c>
      <c r="C9" s="450">
        <f>IF(ISNUMBER(Datos!Q9),Datos!Q9," - ")</f>
        <v>420</v>
      </c>
      <c r="D9" s="419">
        <f>IF(ISNUMBER(Datos!R9),Datos!R9," - ")</f>
        <v>6290</v>
      </c>
    </row>
    <row r="10" spans="1:4">
      <c r="A10" s="413" t="str">
        <f>Datos!A10</f>
        <v>Jdos. Violencia contra la mujer</v>
      </c>
      <c r="B10" s="449">
        <f>IF(ISNUMBER(Datos!P10),Datos!P10," - ")</f>
        <v>0</v>
      </c>
      <c r="C10" s="450">
        <f>IF(ISNUMBER(Datos!Q10),Datos!Q10," - ")</f>
        <v>0</v>
      </c>
      <c r="D10" s="419">
        <f>IF(ISNUMBER(Datos!R10),Datos!R10," - ")</f>
        <v>21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v>
      </c>
      <c r="C12" s="450">
        <f>IF(ISNUMBER(Datos!Q12),Datos!Q12," - ")</f>
        <v>122</v>
      </c>
      <c r="D12" s="419">
        <f>IF(ISNUMBER(Datos!R12),Datos!R12," - ")</f>
        <v>1861</v>
      </c>
    </row>
    <row r="13" spans="1:4" ht="14.25" thickTop="1" thickBot="1">
      <c r="A13" s="994" t="str">
        <f>Datos!A13</f>
        <v>TOTAL</v>
      </c>
      <c r="B13" s="995">
        <f>SUBTOTAL(9,B9:B12)</f>
        <v>470</v>
      </c>
      <c r="C13" s="999">
        <f>SUBTOTAL(9,C9:C12)</f>
        <v>542</v>
      </c>
      <c r="D13" s="997">
        <f>SUBTOTAL(9,D9:D12)</f>
        <v>8172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23</v>
      </c>
      <c r="C15" s="450">
        <f>IF(ISNUMBER(Datos!Q15),Datos!Q15," - ")</f>
        <v>12</v>
      </c>
      <c r="D15" s="419">
        <f>IF(ISNUMBER(Datos!R15),Datos!R15," - ")</f>
        <v>147</v>
      </c>
    </row>
    <row r="16" spans="1:4">
      <c r="A16" s="413" t="str">
        <f>Datos!A16</f>
        <v xml:space="preserve">Jdos. 1ª Instª. e Instr.                        </v>
      </c>
      <c r="B16" s="449">
        <f>IF(ISNUMBER(Datos!P16),Datos!P16," - ")</f>
        <v>0</v>
      </c>
      <c r="C16" s="450">
        <f>IF(ISNUMBER(Datos!Q16),Datos!Q16," - ")</f>
        <v>10</v>
      </c>
      <c r="D16" s="419">
        <f>IF(ISNUMBER(Datos!R16),Datos!R16," - ")</f>
        <v>162</v>
      </c>
    </row>
    <row r="17" spans="1:4" ht="13.5" thickBot="1">
      <c r="A17" s="413" t="str">
        <f>Datos!A17</f>
        <v>Jdos. Violencia contra la mujer</v>
      </c>
      <c r="B17" s="449">
        <f>IF(ISNUMBER(Datos!P17),Datos!P17," - ")</f>
        <v>3</v>
      </c>
      <c r="C17" s="450">
        <f>IF(ISNUMBER(Datos!Q17),Datos!Q17," - ")</f>
        <v>0</v>
      </c>
      <c r="D17" s="419">
        <f>IF(ISNUMBER(Datos!R17),Datos!R17," - ")</f>
        <v>7</v>
      </c>
    </row>
    <row r="18" spans="1:4" ht="14.25" thickTop="1" thickBot="1">
      <c r="A18" s="994" t="str">
        <f>Datos!A18</f>
        <v>TOTAL</v>
      </c>
      <c r="B18" s="995">
        <f>SUBTOTAL(9,B15:B17)</f>
        <v>26</v>
      </c>
      <c r="C18" s="999">
        <f>SUBTOTAL(9,C15:C17)</f>
        <v>22</v>
      </c>
      <c r="D18" s="997">
        <f>SUBTOTAL(9,D15:D17)</f>
        <v>316</v>
      </c>
    </row>
    <row r="19" spans="1:4" ht="16.5" customHeight="1" thickTop="1" thickBot="1">
      <c r="A19" s="939" t="str">
        <f>Datos!A19</f>
        <v>TOTAL JURISDICCIONES</v>
      </c>
      <c r="B19" s="944">
        <f>SUBTOTAL(9,B8:B18)</f>
        <v>496</v>
      </c>
      <c r="C19" s="945">
        <f>SUBTOTAL(9,C8:C18)</f>
        <v>564</v>
      </c>
      <c r="D19" s="946">
        <f>SUBTOTAL(9,D8:D18)</f>
        <v>8488</v>
      </c>
    </row>
    <row r="20" spans="1:4" ht="7.5" customHeight="1"/>
    <row r="21" spans="1:4" ht="6" customHeight="1"/>
    <row r="22" spans="1:4">
      <c r="A22" s="402" t="str">
        <f>Criterios!A4</f>
        <v>Fecha Informe: 06 oct. 2023</v>
      </c>
    </row>
    <row r="27" spans="1:4">
      <c r="A27" s="425"/>
    </row>
  </sheetData>
  <sheetProtection algorithmName="SHA-512" hashValue="gQw4xfV04b5wMzvR1AKIsKoLx+/eeJarraY/kMms7Wi0siakkWRk0Tkvk9YpC1r2lLE5B3m1PrCd8t70RIu/mA==" saltValue="bN8+4DhZnqMYbiKDIFOC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TOLEDO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0.33966508372906773</v>
      </c>
      <c r="C9" s="472">
        <f>IF(ISNUMBER(
   IF(J_V="SI",(Datos!J9-Datos!T9)/Datos!T9,(Datos!J9+Datos!Z9-(Datos!T9+Datos!AH9))/(Datos!T9+Datos!AH9))
     ),IF(J_V="SI",(Datos!J9-Datos!T9)/Datos!T9,(Datos!J9+Datos!Z9-(Datos!T9+Datos!AH9))/(Datos!T9+Datos!AH9))," - ")</f>
        <v>5.6937534549474846E-2</v>
      </c>
      <c r="D9" s="472">
        <f>IF(ISNUMBER(
   IF(J_V="SI",(Datos!K9-Datos!U9)/Datos!U9,(Datos!K9+Datos!AA9-(Datos!U9+Datos!AI9))/(Datos!U9+Datos!AI9))
     ),IF(J_V="SI",(Datos!K9-Datos!U9)/Datos!U9,(Datos!K9+Datos!AA9-(Datos!U9+Datos!AI9))/(Datos!U9+Datos!AI9))," - ")</f>
        <v>-5.0684931506849315E-2</v>
      </c>
      <c r="E9" s="472">
        <f>IF(ISNUMBER(
   IF(J_V="SI",(Datos!L9-Datos!V9)/Datos!V9,(Datos!L9+Datos!AB9-(Datos!V9+Datos!AJ9))/(Datos!V9+Datos!AJ9))
     ),IF(J_V="SI",(Datos!L9-Datos!V9)/Datos!V9,(Datos!L9+Datos!AB9-(Datos!V9+Datos!AJ9))/(Datos!V9+Datos!AJ9))," - ")</f>
        <v>0.34436781609195405</v>
      </c>
      <c r="F9" s="472">
        <f>IF(ISNUMBER((Datos!M9-Datos!W9)/Datos!W9),(Datos!M9-Datos!W9)/Datos!W9," - ")</f>
        <v>-4.9206349206349205E-2</v>
      </c>
      <c r="G9" s="473">
        <f>IF(ISNUMBER((Datos!N9-Datos!X9)/Datos!X9),(Datos!N9-Datos!X9)/Datos!X9," - ")</f>
        <v>-0.25667351129363447</v>
      </c>
      <c r="H9" s="471">
        <f>IF(ISNUMBER(((NºAsuntos!G9/NºAsuntos!E9)-Datos!BD9)/Datos!BD9),((NºAsuntos!G9/NºAsuntos!E9)-Datos!BD9)/Datos!BD9," - ")</f>
        <v>-0.10182481228864554</v>
      </c>
      <c r="I9" s="472">
        <f>IF(ISNUMBER(((NºAsuntos!I9/NºAsuntos!G9)-Datos!BE9)/Datos!BE9),((NºAsuntos!I9/NºAsuntos!G9)-Datos!BE9)/Datos!BE9," - ")</f>
        <v>0.4161450299381334</v>
      </c>
      <c r="J9" s="477">
        <f>IF(ISNUMBER((('Resol  Asuntos'!D9/NºAsuntos!G9)-Datos!BF9)/Datos!BF9),(('Resol  Asuntos'!D9/NºAsuntos!G9)-Datos!BF9)/Datos!BF9," - ")</f>
        <v>0.29564936546456055</v>
      </c>
      <c r="K9" s="478">
        <f>IF(ISNUMBER((((NºAsuntos!C9+NºAsuntos!E9)/NºAsuntos!G9)-Datos!BG9)/Datos!BG9),(((NºAsuntos!C9+NºAsuntos!E9)/NºAsuntos!G9)-Datos!BG9)/Datos!BG9," - ")</f>
        <v>0.31846122896036844</v>
      </c>
    </row>
    <row r="10" spans="1:11">
      <c r="A10" s="413" t="str">
        <f>Datos!A10</f>
        <v>Jdos. Violencia contra la mujer</v>
      </c>
      <c r="B10" s="471">
        <f>IF(ISNUMBER((Datos!I10-Datos!S10)/Datos!S10),(Datos!I10-Datos!S10)/Datos!S10," - ")</f>
        <v>0</v>
      </c>
      <c r="C10" s="472">
        <f>IF(ISNUMBER((Datos!J10-Datos!T10)/Datos!T10),(Datos!J10-Datos!T10)/Datos!T10," - ")</f>
        <v>-0.76923076923076927</v>
      </c>
      <c r="D10" s="472">
        <f>IF(ISNUMBER((Datos!K10-Datos!U10)/Datos!U10),(Datos!K10-Datos!U10)/Datos!U10," - ")</f>
        <v>-1</v>
      </c>
      <c r="E10" s="472">
        <f>IF(ISNUMBER((Datos!L10-Datos!V10)/Datos!V10),(Datos!L10-Datos!V10)/Datos!V10," - ")</f>
        <v>-4.8543689320388349E-2</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-0.40017286084701814</v>
      </c>
      <c r="C12" s="472">
        <f>IF(ISNUMBER(
   IF(J_V="SI",(Datos!J12-Datos!T12)/Datos!T12,(Datos!J12+Datos!Z12-(Datos!T12+Datos!AH12))/(Datos!T12+Datos!AH12))
     ),IF(J_V="SI",(Datos!J12-Datos!T12)/Datos!T12,(Datos!J12+Datos!Z12-(Datos!T12+Datos!AH12))/(Datos!T12+Datos!AH12))," - ")</f>
        <v>-0.22413793103448276</v>
      </c>
      <c r="D12" s="472">
        <f>IF(ISNUMBER(
   IF(J_V="SI",(Datos!K12-Datos!U12)/Datos!U12,(Datos!K12+Datos!AA12-(Datos!U12+Datos!AI12))/(Datos!U12+Datos!AI12))
     ),IF(J_V="SI",(Datos!K12-Datos!U12)/Datos!U12,(Datos!K12+Datos!AA12-(Datos!U12+Datos!AI12))/(Datos!U12+Datos!AI12))," - ")</f>
        <v>-0.51941747572815533</v>
      </c>
      <c r="E12" s="472">
        <f>IF(ISNUMBER(
   IF(J_V="SI",(Datos!L12-Datos!V12)/Datos!V12,(Datos!L12+Datos!AB12-(Datos!V12+Datos!AJ12))/(Datos!V12+Datos!AJ12))
     ),IF(J_V="SI",(Datos!L12-Datos!V12)/Datos!V12,(Datos!L12+Datos!AB12-(Datos!V12+Datos!AJ12))/(Datos!V12+Datos!AJ12))," - ")</f>
        <v>-0.36696340257171117</v>
      </c>
      <c r="F12" s="472">
        <f>IF(ISNUMBER((Datos!M12-Datos!W12)/Datos!W12),(Datos!M12-Datos!W12)/Datos!W12," - ")</f>
        <v>-0.44444444444444442</v>
      </c>
      <c r="G12" s="473">
        <f>IF(ISNUMBER((Datos!N12-Datos!X12)/Datos!X12),(Datos!N12-Datos!X12)/Datos!X12," - ")</f>
        <v>-0.82278481012658233</v>
      </c>
      <c r="H12" s="471">
        <f>IF(ISNUMBER(((NºAsuntos!G12/NºAsuntos!E12)-Datos!BD12)/Datos!BD12),((NºAsuntos!G12/NºAsuntos!E12)-Datos!BD12)/Datos!BD12," - ")</f>
        <v>-0.38058252427184464</v>
      </c>
      <c r="I12" s="472">
        <f>IF(ISNUMBER(((NºAsuntos!I12/NºAsuntos!G12)-Datos!BE12)/Datos!BE12),((NºAsuntos!I12/NºAsuntos!G12)-Datos!BE12)/Datos!BE12," - ")</f>
        <v>0.31722766737603536</v>
      </c>
      <c r="J12" s="477">
        <f>IF(ISNUMBER((('Resol  Asuntos'!D12/NºAsuntos!G12)-Datos!BF12)/Datos!BF12),(('Resol  Asuntos'!D12/NºAsuntos!G12)-Datos!BF12)/Datos!BF12," - ")</f>
        <v>-0.20981971614883005</v>
      </c>
      <c r="K12" s="478">
        <f>IF(ISNUMBER((((NºAsuntos!C12+NºAsuntos!E12)/NºAsuntos!G12)-Datos!BG12)/Datos!BG12),(((NºAsuntos!C12+NºAsuntos!E12)/NºAsuntos!G12)-Datos!BG12)/Datos!BG12," - ")</f>
        <v>0.26561084091948284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0.17066666666666666</v>
      </c>
      <c r="C13" s="1001">
        <f>IF(ISNUMBER(
   IF(J_V="SI",(Datos!J13-Datos!T13)/Datos!T13,(Datos!J13+Datos!Z13-(Datos!T13+Datos!AH13))/(Datos!T13+Datos!AH13))
     ),IF(J_V="SI",(Datos!J13-Datos!T13)/Datos!T13,(Datos!J13+Datos!Z13-(Datos!T13+Datos!AH13))/(Datos!T13+Datos!AH13))," - ")</f>
        <v>3.6978341257263604E-2</v>
      </c>
      <c r="D13" s="1001">
        <f>IF(ISNUMBER(
   IF(J_V="SI",(Datos!K13-Datos!U13)/Datos!U13,(Datos!K13+Datos!AA13-(Datos!U13+Datos!AI13))/(Datos!U13+Datos!AI13))
     ),IF(J_V="SI",(Datos!K13-Datos!U13)/Datos!U13,(Datos!K13+Datos!AA13-(Datos!U13+Datos!AI13))/(Datos!U13+Datos!AI13))," - ")</f>
        <v>-0.11659726353361094</v>
      </c>
      <c r="E13" s="1001">
        <f>IF(ISNUMBER(
   IF(J_V="SI",(Datos!L13-Datos!V13)/Datos!V13,(Datos!L13+Datos!AB13-(Datos!V13+Datos!AJ13))/(Datos!V13+Datos!AJ13))
     ),IF(J_V="SI",(Datos!L13-Datos!V13)/Datos!V13,(Datos!L13+Datos!AB13-(Datos!V13+Datos!AJ13))/(Datos!V13+Datos!AJ13))," - ")</f>
        <v>0.20534407027818449</v>
      </c>
      <c r="F13" s="1002">
        <f>IF(ISNUMBER((Datos!M13-Datos!W13)/Datos!W13),(Datos!M13-Datos!W13)/Datos!W13," - ")</f>
        <v>-8.7082728592162553E-2</v>
      </c>
      <c r="G13" s="1003">
        <f>IF(ISNUMBER((Datos!N13-Datos!X13)/Datos!X13),(Datos!N13-Datos!X13)/Datos!X13," - ")</f>
        <v>-0.34265734265734266</v>
      </c>
      <c r="H13" s="1003">
        <f>IF(ISNUMBER(((NºAsuntos!G13/NºAsuntos!E13)-Datos!BD13)/Datos!BD13),((NºAsuntos!G13/NºAsuntos!E13)-Datos!BD13)/Datos!BD13," - ")</f>
        <v>-0.1480991441004206</v>
      </c>
      <c r="I13" s="1003">
        <f>IF(ISNUMBER(((NºAsuntos!I13/NºAsuntos!G13)-Datos!BE13)/Datos!BE13),((NºAsuntos!I13/NºAsuntos!G13)-Datos!BE13)/Datos!BE13," - ")</f>
        <v>0.36443325396473275</v>
      </c>
      <c r="J13" s="1003">
        <f>IF(ISNUMBER((('Resol  Asuntos'!D13/NºAsuntos!G13)-Datos!BF13)/Datos!BF13),(('Resol  Asuntos'!D13/NºAsuntos!G13)-Datos!BF13)/Datos!BF13," - ")</f>
        <v>0.24696940213577703</v>
      </c>
      <c r="K13" s="1003">
        <f>IF(ISNUMBER((((NºAsuntos!C13+NºAsuntos!E13)/NºAsuntos!G13)-Datos!BG13)/Datos!BG13),(((NºAsuntos!C13+NºAsuntos!E13)/NºAsuntos!G13)-Datos!BG13)/Datos!BG13," - ")</f>
        <v>0.2850733288364537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0.94713656387665202</v>
      </c>
      <c r="C15" s="472">
        <f>IF(ISNUMBER(
   IF(D_I="SI",(Datos!J15-Datos!T15)/Datos!T15,(Datos!J15+Datos!AD15-(Datos!T15+Datos!AL15))/(Datos!T15+Datos!AL15))
     ),IF(D_I="SI",(Datos!J15-Datos!T15)/Datos!T15,(Datos!J15+Datos!AD15-(Datos!T15+Datos!AL15))/(Datos!T15+Datos!AL15))," - ")</f>
        <v>0.13032581453634084</v>
      </c>
      <c r="D15" s="472">
        <f>IF(ISNUMBER(
   IF(D_I="SI",(Datos!K15-Datos!U15)/Datos!U15,(Datos!K15+Datos!AE15-(Datos!U15+Datos!AM15))/(Datos!U15+Datos!AM15))
     ),IF(D_I="SI",(Datos!K15-Datos!U15)/Datos!U15,(Datos!K15+Datos!AE15-(Datos!U15+Datos!AM15))/(Datos!U15+Datos!AM15))," - ")</f>
        <v>0.49480968858131485</v>
      </c>
      <c r="E15" s="472">
        <f>IF(ISNUMBER(
   IF(D_I="SI",(Datos!L15-Datos!V15)/Datos!V15,(Datos!L15+Datos!AF15-(Datos!V15+Datos!AN15))/(Datos!V15+Datos!AN15))
     ),IF(D_I="SI",(Datos!L15-Datos!V15)/Datos!V15,(Datos!L15+Datos!AF15-(Datos!V15+Datos!AN15))/(Datos!V15+Datos!AN15))," - ")</f>
        <v>0.57775189283634243</v>
      </c>
      <c r="F15" s="472">
        <f>IF(ISNUMBER((Datos!M15-Datos!W15)/Datos!W15),(Datos!M15-Datos!W15)/Datos!W15," - ")</f>
        <v>0.31623931623931623</v>
      </c>
      <c r="G15" s="473">
        <f>IF(ISNUMBER((Datos!N15-Datos!X15)/Datos!X15),(Datos!N15-Datos!X15)/Datos!X15," - ")</f>
        <v>0.62637362637362637</v>
      </c>
      <c r="H15" s="471">
        <f>IF(ISNUMBER(((NºAsuntos!G15/NºAsuntos!E15)-Datos!BD15)/Datos!BD15),((NºAsuntos!G15/NºAsuntos!E15)-Datos!BD15)/Datos!BD15," - ")</f>
        <v>0.32245912581805908</v>
      </c>
      <c r="I15" s="472">
        <f>IF(ISNUMBER(((NºAsuntos!I15/NºAsuntos!G15)-Datos!BE15)/Datos!BE15),((NºAsuntos!I15/NºAsuntos!G15)-Datos!BE15)/Datos!BE15," - ")</f>
        <v>5.5486798679867902E-2</v>
      </c>
      <c r="J15" s="477">
        <f>IF(ISNUMBER((('Resol  Asuntos'!D15/NºAsuntos!G15)-Datos!BF15)/Datos!BF15),(('Resol  Asuntos'!D15/NºAsuntos!G15)-Datos!BF15)/Datos!BF15," - ")</f>
        <v>-0.1194602722380501</v>
      </c>
      <c r="K15" s="478">
        <f>IF(ISNUMBER((((NºAsuntos!C15+NºAsuntos!E15)/NºAsuntos!G15)-Datos!BG15)/Datos!BG15),(((NºAsuntos!C15+NºAsuntos!E15)/NºAsuntos!G15)-Datos!BG15)/Datos!BG15," - ")</f>
        <v>4.6999153315096957E-2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-0.58181818181818179</v>
      </c>
      <c r="C16" s="472">
        <f>IF(ISNUMBER(
   IF(D_I="SI",(Datos!J16-Datos!T16)/Datos!T16,(Datos!J16+Datos!AD16-(Datos!T16+Datos!AL16))/(Datos!T16+Datos!AL16))
     ),IF(D_I="SI",(Datos!J16-Datos!T16)/Datos!T16,(Datos!J16+Datos!AD16-(Datos!T16+Datos!AL16))/(Datos!T16+Datos!AL16))," - ")</f>
        <v>-0.92800000000000005</v>
      </c>
      <c r="D16" s="472">
        <f>IF(ISNUMBER(
   IF(D_I="SI",(Datos!K16-Datos!U16)/Datos!U16,(Datos!K16+Datos!AE16-(Datos!U16+Datos!AM16))/(Datos!U16+Datos!AM16))
     ),IF(D_I="SI",(Datos!K16-Datos!U16)/Datos!U16,(Datos!K16+Datos!AE16-(Datos!U16+Datos!AM16))/(Datos!U16+Datos!AM16))," - ")</f>
        <v>-0.67272727272727273</v>
      </c>
      <c r="E16" s="472">
        <f>IF(ISNUMBER(
   IF(D_I="SI",(Datos!L16-Datos!V16)/Datos!V16,(Datos!L16+Datos!AF16-(Datos!V16+Datos!AN16))/(Datos!V16+Datos!AN16))
     ),IF(D_I="SI",(Datos!L16-Datos!V16)/Datos!V16,(Datos!L16+Datos!AF16-(Datos!V16+Datos!AN16))/(Datos!V16+Datos!AN16))," - ")</f>
        <v>-0.60050890585241734</v>
      </c>
      <c r="F16" s="472">
        <f>IF(ISNUMBER((Datos!M16-Datos!W16)/Datos!W16),(Datos!M16-Datos!W16)/Datos!W16," - ")</f>
        <v>-0.66666666666666663</v>
      </c>
      <c r="G16" s="473">
        <f>IF(ISNUMBER((Datos!N16-Datos!X16)/Datos!X16),(Datos!N16-Datos!X16)/Datos!X16," - ")</f>
        <v>-0.38333333333333336</v>
      </c>
      <c r="H16" s="471">
        <f>IF(ISNUMBER(((NºAsuntos!G16/NºAsuntos!E16)-Datos!BD16)/Datos!BD16),((NºAsuntos!G16/NºAsuntos!E16)-Datos!BD16)/Datos!BD16," - ")</f>
        <v>3.5454545454545454</v>
      </c>
      <c r="I16" s="472">
        <f>IF(ISNUMBER(((NºAsuntos!I16/NºAsuntos!G16)-Datos!BE16)/Datos!BE16),((NºAsuntos!I16/NºAsuntos!G16)-Datos!BE16)/Datos!BE16," - ")</f>
        <v>0.22066723211761369</v>
      </c>
      <c r="J16" s="477">
        <f>IF(ISNUMBER((('Resol  Asuntos'!D16/NºAsuntos!G16)-Datos!BF16)/Datos!BF16),(('Resol  Asuntos'!D16/NºAsuntos!G16)-Datos!BF16)/Datos!BF16," - ")</f>
        <v>1.8518518518518493E-2</v>
      </c>
      <c r="K16" s="478">
        <f>IF(ISNUMBER((((NºAsuntos!C16+NºAsuntos!E16)/NºAsuntos!G16)-Datos!BG16)/Datos!BG16),(((NºAsuntos!C16+NºAsuntos!E16)/NºAsuntos!G16)-Datos!BG16)/Datos!BG16," - ")</f>
        <v>0.146213377556661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0.69230769230769229</v>
      </c>
      <c r="C17" s="472">
        <f>IF(ISNUMBER(
   IF(D_I="SI",(Datos!J17-Datos!T17)/Datos!T17,(Datos!J17+Datos!AD17-(Datos!T17+Datos!AL17))/(Datos!T17+Datos!AL17))
     ),IF(D_I="SI",(Datos!J17-Datos!T17)/Datos!T17,(Datos!J17+Datos!AD17-(Datos!T17+Datos!AL17))/(Datos!T17+Datos!AL17))," - ")</f>
        <v>-0.3032258064516129</v>
      </c>
      <c r="D17" s="472">
        <f>IF(ISNUMBER(
   IF(D_I="SI",(Datos!K17-Datos!U17)/Datos!U17,(Datos!K17+Datos!AE17-(Datos!U17+Datos!AM17))/(Datos!U17+Datos!AM17))
     ),IF(D_I="SI",(Datos!K17-Datos!U17)/Datos!U17,(Datos!K17+Datos!AE17-(Datos!U17+Datos!AM17))/(Datos!U17+Datos!AM17))," - ")</f>
        <v>-0.42857142857142855</v>
      </c>
      <c r="E17" s="472">
        <f>IF(ISNUMBER(
   IF(D_I="SI",(Datos!L17-Datos!V17)/Datos!V17,(Datos!L17+Datos!AF17-(Datos!V17+Datos!AN17))/(Datos!V17+Datos!AN17))
     ),IF(D_I="SI",(Datos!L17-Datos!V17)/Datos!V17,(Datos!L17+Datos!AF17-(Datos!V17+Datos!AN17))/(Datos!V17+Datos!AN17))," - ")</f>
        <v>0.73134328358208955</v>
      </c>
      <c r="F17" s="472">
        <f>IF(ISNUMBER((Datos!M17-Datos!W17)/Datos!W17),(Datos!M17-Datos!W17)/Datos!W17," - ")</f>
        <v>-0.33333333333333331</v>
      </c>
      <c r="G17" s="473">
        <f>IF(ISNUMBER((Datos!N17-Datos!X17)/Datos!X17),(Datos!N17-Datos!X17)/Datos!X17," - ")</f>
        <v>-0.61842105263157898</v>
      </c>
      <c r="H17" s="471">
        <f>IF(ISNUMBER(((NºAsuntos!G17/NºAsuntos!E17)-Datos!BD17)/Datos!BD17),((NºAsuntos!G17/NºAsuntos!E17)-Datos!BD17)/Datos!BD17," - ")</f>
        <v>-0.17989417989417991</v>
      </c>
      <c r="I17" s="472">
        <f>IF(ISNUMBER(((NºAsuntos!I17/NºAsuntos!G17)-Datos!BE17)/Datos!BE17),((NºAsuntos!I17/NºAsuntos!G17)-Datos!BE17)/Datos!BE17," - ")</f>
        <v>2.0298507462686564</v>
      </c>
      <c r="J17" s="477">
        <f>IF(ISNUMBER((('Resol  Asuntos'!D17/NºAsuntos!G17)-Datos!BF17)/Datos!BF17),(('Resol  Asuntos'!D17/NºAsuntos!G17)-Datos!BF17)/Datos!BF17," - ")</f>
        <v>0.16666666666666663</v>
      </c>
      <c r="K17" s="478">
        <f>IF(ISNUMBER((((NºAsuntos!C17+NºAsuntos!E17)/NºAsuntos!G17)-Datos!BG17)/Datos!BG17),(((NºAsuntos!C17+NºAsuntos!E17)/NºAsuntos!G17)-Datos!BG17)/Datos!BG17," - ")</f>
        <v>0.65700483091787443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0.35483870967741937</v>
      </c>
      <c r="C18" s="1001">
        <f>IF(ISNUMBER(
   IF(Criterios!B14="SI",(Datos!J18-Datos!T18)/Datos!T18,(Datos!J18+Datos!AD18-(Datos!T18+Datos!AL18))/(Datos!T18+Datos!AL18))
     ),IF(Criterios!B14="SI",(Datos!J18-Datos!T18)/Datos!T18,(Datos!J18+Datos!AD18-(Datos!T18+Datos!AL18))/(Datos!T18+Datos!AL18))," - ")</f>
        <v>-4.7393364928909956E-3</v>
      </c>
      <c r="D18" s="1001">
        <f>IF(ISNUMBER(
   IF(Criterios!B14="SI",(Datos!K18-Datos!U18)/Datos!U18,(Datos!K18+Datos!AE18-(Datos!U18+Datos!AM18))/(Datos!U18+Datos!AM18))
     ),IF(Criterios!B14="SI",(Datos!K18-Datos!U18)/Datos!U18,(Datos!K18+Datos!AE18-(Datos!U18+Datos!AM18))/(Datos!U18+Datos!AM18))," - ")</f>
        <v>0.18011409942950285</v>
      </c>
      <c r="E18" s="1001">
        <f>IF(ISNUMBER(
   IF(Criterios!B14="SI",(Datos!L18-Datos!V18)/Datos!V18,(Datos!L18+Datos!AF18-(Datos!V18+Datos!AN18))/(Datos!V18+Datos!AN18))
     ),IF(Criterios!B14="SI",(Datos!L18-Datos!V18)/Datos!V18,(Datos!L18+Datos!AF18-(Datos!V18+Datos!AN18))/(Datos!V18+Datos!AN18))," - ")</f>
        <v>0.22140077821011672</v>
      </c>
      <c r="F18" s="1002">
        <f>IF(ISNUMBER((Datos!M18-Datos!W18)/Datos!W18),(Datos!M18-Datos!W18)/Datos!W18," - ")</f>
        <v>8.4848484848484854E-2</v>
      </c>
      <c r="G18" s="1003">
        <f>IF(ISNUMBER((Datos!N18-Datos!X18)/Datos!X18),(Datos!N18-Datos!X18)/Datos!X18," - ")</f>
        <v>0.39882697947214074</v>
      </c>
      <c r="H18" s="1003">
        <f>IF(ISNUMBER(((NºAsuntos!G18/NºAsuntos!E18)-Datos!BD18)/Datos!BD18),((NºAsuntos!G18/NºAsuntos!E18)-Datos!BD18)/Datos!BD18," - ")</f>
        <v>0.18573369037916723</v>
      </c>
      <c r="I18" s="1003">
        <f>IF(ISNUMBER(((NºAsuntos!I18/NºAsuntos!G18)-Datos!BE18)/Datos!BE18),((NºAsuntos!I18/NºAsuntos!G18)-Datos!BE18)/Datos!BE18," - ")</f>
        <v>3.4985327944622308E-2</v>
      </c>
      <c r="J18" s="1003">
        <f>IF(ISNUMBER((('Resol  Asuntos'!D18/NºAsuntos!G18)-Datos!BF18)/Datos!BF18),(('Resol  Asuntos'!D18/NºAsuntos!G18)-Datos!BF18)/Datos!BF18," - ")</f>
        <v>-8.0725765946760453E-2</v>
      </c>
      <c r="K18" s="1003">
        <f>IF(ISNUMBER((((NºAsuntos!C18+NºAsuntos!E18)/NºAsuntos!G18)-Datos!BG18)/Datos!BG18),(((NºAsuntos!C18+NºAsuntos!E18)/NºAsuntos!G18)-Datos!BG18)/Datos!BG18," - ")</f>
        <v>2.8715436648689991E-2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0.22667020148462355</v>
      </c>
      <c r="C19" s="948">
        <f>IF(ISNUMBER(
   IF(J_V="SI",(Datos!J19-Datos!T19)/Datos!T19,(Datos!J19+Datos!Z19-(Datos!T19+Datos!AH19))/(Datos!T19+Datos!AH19))
     ),IF(J_V="SI",(Datos!J19-Datos!T19)/Datos!T19,(Datos!J19+Datos!Z19-(Datos!T19+Datos!AH19))/(Datos!T19+Datos!AH19))," - ")</f>
        <v>1.8694362017804153E-2</v>
      </c>
      <c r="D19" s="948">
        <f>IF(ISNUMBER(
   IF(J_V="SI",(Datos!K19-Datos!U19)/Datos!U19,(Datos!K19+Datos!AA19-(Datos!U19+Datos!AI19))/(Datos!U19+Datos!AI19))
     ),IF(J_V="SI",(Datos!K19-Datos!U19)/Datos!U19,(Datos!K19+Datos!AA19-(Datos!U19+Datos!AI19))/(Datos!U19+Datos!AI19))," - ")</f>
        <v>8.5969738651994494E-3</v>
      </c>
      <c r="E19" s="948">
        <f>IF(ISNUMBER(
   IF(J_V="SI",(Datos!L19-Datos!V19)/Datos!V19,(Datos!L19+Datos!AB19-(Datos!V19+Datos!AJ19))/(Datos!V19+Datos!AJ19))
     ),IF(J_V="SI",(Datos!L19-Datos!V19)/Datos!V19,(Datos!L19+Datos!AB19-(Datos!V19+Datos!AJ19))/(Datos!V19+Datos!AJ19))," - ")</f>
        <v>0.21048045805327359</v>
      </c>
      <c r="F19" s="949">
        <f>IF(ISNUMBER((Datos!M19-Datos!W19)/Datos!W19),(Datos!M19-Datos!W19)/Datos!W19," - ")</f>
        <v>-5.3864168618266976E-2</v>
      </c>
      <c r="G19" s="950">
        <f>IF(ISNUMBER((Datos!N19-Datos!X19)/Datos!X19),(Datos!N19-Datos!X19)/Datos!X19," - ")</f>
        <v>6.0606060606060608E-2</v>
      </c>
      <c r="H19" s="951">
        <f>IF(ISNUMBER((Tasas!B19-Datos!BD19)/Datos!BD19),(Tasas!B19-Datos!BD19)/Datos!BD19," - ")</f>
        <v>-9.9120879913422322E-3</v>
      </c>
      <c r="I19" s="952">
        <f>IF(ISNUMBER((Tasas!C19-Datos!BE19)/Datos!BE19),(Tasas!C19-Datos!BE19)/Datos!BE19," - ")</f>
        <v>0.20016269076676441</v>
      </c>
      <c r="J19" s="953">
        <f>IF(ISNUMBER((Tasas!D19-Datos!BF19)/Datos!BF19),(Tasas!D19-Datos!BF19)/Datos!BF19," - ")</f>
        <v>8.846855126817757E-2</v>
      </c>
      <c r="K19" s="953">
        <f>IF(ISNUMBER((Tasas!E19-Datos!BG19)/Datos!BG19),(Tasas!E19-Datos!BG19)/Datos!BG19," - ")</f>
        <v>0.15254351021072218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rOcBj6j4+yeB3cthiottzy5Q+iNuTv/l3j/mWSJUJHknFQJqlBSAhbSiqdgLMvcZzTpjTqktbmk4Pi4f0sPCQ==" saltValue="VbQ6K3ANzWuOHaJr/Gyd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TOLEDO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0.72489539748953979</v>
      </c>
      <c r="C9" s="459">
        <f>IF(ISNUMBER(NºAsuntos!I9/NºAsuntos!G9),NºAsuntos!I9/NºAsuntos!G9," - ")</f>
        <v>4.2193362193362196</v>
      </c>
      <c r="D9" s="460">
        <f>IF(ISNUMBER('Resol  Asuntos'!D9/NºAsuntos!G9),'Resol  Asuntos'!D9/NºAsuntos!G9," - ")</f>
        <v>0.43217893217893216</v>
      </c>
      <c r="E9" s="461">
        <f>IF(ISNUMBER((NºAsuntos!C9+NºAsuntos!E9)/NºAsuntos!G9),(NºAsuntos!C9+NºAsuntos!E9)/NºAsuntos!G9," - ")</f>
        <v>5.2467532467532472</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2.2000000000000002</v>
      </c>
      <c r="C12" s="459">
        <f>IF(ISNUMBER(NºAsuntos!I12/NºAsuntos!G12),NºAsuntos!I12/NºAsuntos!G12," - ")</f>
        <v>6.4646464646464645</v>
      </c>
      <c r="D12" s="460">
        <f>IF(ISNUMBER('Resol  Asuntos'!D12/NºAsuntos!G12),'Resol  Asuntos'!D12/NºAsuntos!G12," - ")</f>
        <v>0.30303030303030304</v>
      </c>
      <c r="E12" s="461">
        <f>IF(ISNUMBER((NºAsuntos!C12+NºAsuntos!E12)/NºAsuntos!G12),(NºAsuntos!C12+NºAsuntos!E12)/NºAsuntos!G12," - ")</f>
        <v>7.4646464646464645</v>
      </c>
      <c r="G12" s="479"/>
    </row>
    <row r="13" spans="1:7" ht="14.25" thickTop="1" thickBot="1">
      <c r="A13" s="994" t="str">
        <f>Datos!A13</f>
        <v>TOTAL</v>
      </c>
      <c r="B13" s="1004">
        <f>IF(ISNUMBER(NºAsuntos!G13/NºAsuntos!E13),NºAsuntos!G13/NºAsuntos!E13," - ")</f>
        <v>0.75649516046867038</v>
      </c>
      <c r="C13" s="1005">
        <f>IF(ISNUMBER(NºAsuntos!I13/NºAsuntos!G13),NºAsuntos!I13/NºAsuntos!G13," - ")</f>
        <v>4.4350168350168353</v>
      </c>
      <c r="D13" s="1006">
        <f>IF(ISNUMBER('Resol  Asuntos'!D13/NºAsuntos!G13),'Resol  Asuntos'!D13/NºAsuntos!G13," - ")</f>
        <v>0.42356902356902359</v>
      </c>
      <c r="E13" s="1007">
        <f>IF(ISNUMBER((NºAsuntos!C13+NºAsuntos!E13)/NºAsuntos!G13),(NºAsuntos!C13+NºAsuntos!E13)/NºAsuntos!G13," - ")</f>
        <v>5.4606060606060609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0.95787139689578715</v>
      </c>
      <c r="C15" s="459">
        <f>IF(ISNUMBER(NºAsuntos!I15/NºAsuntos!G15),NºAsuntos!I15/NºAsuntos!G15," - ")</f>
        <v>2.0902777777777777</v>
      </c>
      <c r="D15" s="460">
        <f>IF(ISNUMBER('Resol  Asuntos'!D15/NºAsuntos!G15),'Resol  Asuntos'!D15/NºAsuntos!G15," - ")</f>
        <v>0.11882716049382716</v>
      </c>
      <c r="E15" s="461">
        <f>IF(ISNUMBER((NºAsuntos!C15+NºAsuntos!E15)/NºAsuntos!G15),(NºAsuntos!C15+NºAsuntos!E15)/NºAsuntos!G15," - ")</f>
        <v>3.0902777777777777</v>
      </c>
      <c r="G15" s="479"/>
    </row>
    <row r="16" spans="1:7">
      <c r="A16" s="413" t="str">
        <f>Datos!A16</f>
        <v xml:space="preserve">Jdos. 1ª Instª. e Instr.                        </v>
      </c>
      <c r="B16" s="458">
        <f>IF(ISNUMBER(NºAsuntos!G16/NºAsuntos!E16),NºAsuntos!G16/NºAsuntos!E16," - ")</f>
        <v>8</v>
      </c>
      <c r="C16" s="459">
        <f>IF(ISNUMBER(NºAsuntos!I16/NºAsuntos!G16),NºAsuntos!I16/NºAsuntos!G16," - ")</f>
        <v>4.3611111111111107</v>
      </c>
      <c r="D16" s="460">
        <f>IF(ISNUMBER('Resol  Asuntos'!D16/NºAsuntos!G16),'Resol  Asuntos'!D16/NºAsuntos!G16," - ")</f>
        <v>9.7222222222222224E-2</v>
      </c>
      <c r="E16" s="461">
        <f>IF(ISNUMBER((NºAsuntos!C16+NºAsuntos!E16)/NºAsuntos!G16),(NºAsuntos!C16+NºAsuntos!E16)/NºAsuntos!G16," - ")</f>
        <v>5.2361111111111107</v>
      </c>
      <c r="G16" s="479"/>
    </row>
    <row r="17" spans="1:7" ht="13.5" thickBot="1">
      <c r="A17" s="413" t="str">
        <f>Datos!A17</f>
        <v>Jdos. Violencia contra la mujer</v>
      </c>
      <c r="B17" s="458">
        <f>IF(ISNUMBER(NºAsuntos!G17/NºAsuntos!E17),NºAsuntos!G17/NºAsuntos!E17," - ")</f>
        <v>0.7407407407407407</v>
      </c>
      <c r="C17" s="459">
        <f>IF(ISNUMBER(NºAsuntos!I17/NºAsuntos!G17),NºAsuntos!I17/NºAsuntos!G17," - ")</f>
        <v>1.45</v>
      </c>
      <c r="D17" s="460">
        <f>IF(ISNUMBER('Resol  Asuntos'!D17/NºAsuntos!G17),'Resol  Asuntos'!D17/NºAsuntos!G17," - ")</f>
        <v>0.22500000000000001</v>
      </c>
      <c r="E17" s="461">
        <f>IF(ISNUMBER((NºAsuntos!C17+NºAsuntos!E17)/NºAsuntos!G17),(NºAsuntos!C17+NºAsuntos!E17)/NºAsuntos!G17," - ")</f>
        <v>2.4500000000000002</v>
      </c>
      <c r="G17" s="479"/>
    </row>
    <row r="18" spans="1:7" ht="14.25" thickTop="1" thickBot="1">
      <c r="A18" s="994" t="str">
        <f>Datos!A18</f>
        <v>TOTAL</v>
      </c>
      <c r="B18" s="1004">
        <f>IF(ISNUMBER(NºAsuntos!G18/NºAsuntos!E18),NºAsuntos!G18/NºAsuntos!E18," - ")</f>
        <v>0.98503401360544218</v>
      </c>
      <c r="C18" s="1005">
        <f>IF(ISNUMBER(NºAsuntos!I18/NºAsuntos!G18),NºAsuntos!I18/NºAsuntos!G18," - ")</f>
        <v>2.1678176795580111</v>
      </c>
      <c r="D18" s="1008">
        <f>IF(ISNUMBER('Resol  Asuntos'!D18/NºAsuntos!G18),'Resol  Asuntos'!D18/NºAsuntos!G18," - ")</f>
        <v>0.12361878453038674</v>
      </c>
      <c r="E18" s="1007">
        <f>IF(ISNUMBER((NºAsuntos!C18+NºAsuntos!E18)/NºAsuntos!G18),(NºAsuntos!C18+NºAsuntos!E18)/NºAsuntos!G18," - ")</f>
        <v>3.1616022099447512</v>
      </c>
      <c r="G18" s="479"/>
    </row>
    <row r="19" spans="1:7" ht="15.75" customHeight="1" thickTop="1" thickBot="1">
      <c r="A19" s="939" t="str">
        <f>Datos!A19</f>
        <v>TOTAL JURISDICCIONES</v>
      </c>
      <c r="B19" s="954">
        <f>IF(ISNUMBER(NºAsuntos!G19/NºAsuntos!E19),NºAsuntos!G19/NºAsuntos!E19," - ")</f>
        <v>0.85435479172735218</v>
      </c>
      <c r="C19" s="955">
        <f>IF(ISNUMBER(NºAsuntos!I19/NºAsuntos!G19),NºAsuntos!I19/NºAsuntos!G19," - ")</f>
        <v>3.3157176951926357</v>
      </c>
      <c r="D19" s="956">
        <f>IF(ISNUMBER('Resol  Asuntos'!D19/NºAsuntos!G19),'Resol  Asuntos'!D19/NºAsuntos!G19," - ")</f>
        <v>0.27548585066484826</v>
      </c>
      <c r="E19" s="957">
        <f>IF(ISNUMBER((NºAsuntos!C19+NºAsuntos!E19)/NºAsuntos!G19),(NºAsuntos!C19+NºAsuntos!E19)/NºAsuntos!G19," - ")</f>
        <v>4.3256051824070916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SqCgGpC68e/8HLkHfWmbopkNYSHMgja6gfBofITcHWsVg2rOvoxy/sCS5F6fnK9vEbXxG/xz/13OvrX3azntg==" saltValue="nlQGOWJS8dIt2dgq/ErT7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TOLEDO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467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420</v>
      </c>
      <c r="Y9" s="343">
        <f>SUM(W9:X9)</f>
        <v>420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6290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599</v>
      </c>
      <c r="AJ9" s="233" t="str">
        <f>IF(ISNUMBER(Datos!BW9),Datos!BW9," - ")</f>
        <v xml:space="preserve"> - </v>
      </c>
      <c r="AK9" s="232" t="str">
        <f>IF(ISNUMBER(Datos!BX9),Datos!BX9," - ")</f>
        <v xml:space="preserve"> - </v>
      </c>
      <c r="AL9" s="247">
        <f>IF(ISNUMBER(NºAsuntos!G9/NºAsuntos!E9),NºAsuntos!G9/NºAsuntos!E9," - ")</f>
        <v>0.72489539748953979</v>
      </c>
      <c r="AM9" s="264">
        <f>IF(ISNUMBER(((NºAsuntos!I9/NºAsuntos!G9)*11)/factor_trimestre),((NºAsuntos!I9/NºAsuntos!G9)*11)/factor_trimestre," - ")</f>
        <v>12.65800865800866</v>
      </c>
      <c r="AN9" s="248">
        <f>IF(ISNUMBER('Resol  Asuntos'!D9/NºAsuntos!G9),'Resol  Asuntos'!D9/NºAsuntos!G9," - ")</f>
        <v>0.43217893217893216</v>
      </c>
      <c r="AO9" s="249">
        <f>IF(ISNUMBER((NºAsuntos!C9+NºAsuntos!E9)/NºAsuntos!G9),(NºAsuntos!C9+NºAsuntos!E9)/NºAsuntos!G9," - ")</f>
        <v>5.2467532467532472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92</v>
      </c>
      <c r="G10" s="342">
        <f>IF(ISNUMBER(Datos!I10),Datos!I10," - ")</f>
        <v>92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98</v>
      </c>
      <c r="AB10" s="343">
        <f>IF(ISNUMBER(Datos!R10),Datos!R10," - ")</f>
        <v>21</v>
      </c>
      <c r="AC10" s="343">
        <f t="shared" ref="AC10:AC12" si="1">IF(ISNUMBER(AA10+AB10),AA10+AB10," - ")</f>
        <v>119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122</v>
      </c>
      <c r="Y12" s="343">
        <f t="shared" si="0"/>
        <v>122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1861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30</v>
      </c>
      <c r="AJ12" s="233" t="str">
        <f>IF(ISNUMBER(Datos!BW12),Datos!BW12," - ")</f>
        <v xml:space="preserve"> - </v>
      </c>
      <c r="AK12" s="232" t="str">
        <f>IF(ISNUMBER(Datos!BX12),Datos!BX12," - ")</f>
        <v xml:space="preserve"> - </v>
      </c>
      <c r="AL12" s="247">
        <f>IF(ISNUMBER(NºAsuntos!G12/NºAsuntos!E12),NºAsuntos!G12/NºAsuntos!E12," - ")</f>
        <v>2.2000000000000002</v>
      </c>
      <c r="AM12" s="264">
        <f>IF(ISNUMBER(((NºAsuntos!I12/NºAsuntos!G12)*11)/factor_trimestre),((NºAsuntos!I12/NºAsuntos!G12)*11)/factor_trimestre," - ")</f>
        <v>19.393939393939394</v>
      </c>
      <c r="AN12" s="248">
        <f>IF(ISNUMBER('Resol  Asuntos'!D12/NºAsuntos!G12),'Resol  Asuntos'!D12/NºAsuntos!G12," - ")</f>
        <v>0.30303030303030304</v>
      </c>
      <c r="AO12" s="249">
        <f>IF(ISNUMBER((NºAsuntos!C12+NºAsuntos!E12)/NºAsuntos!G12),(NºAsuntos!C12+NºAsuntos!E12)/NºAsuntos!G12," - ")</f>
        <v>7.4646464646464645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92</v>
      </c>
      <c r="G13" s="1012">
        <f t="shared" si="3"/>
        <v>92</v>
      </c>
      <c r="H13" s="1011">
        <f t="shared" si="3"/>
        <v>0</v>
      </c>
      <c r="I13" s="1013">
        <f t="shared" si="3"/>
        <v>0</v>
      </c>
      <c r="J13" s="1013">
        <f t="shared" si="3"/>
        <v>0</v>
      </c>
      <c r="K13" s="1013">
        <f t="shared" si="3"/>
        <v>0</v>
      </c>
      <c r="L13" s="1013">
        <f t="shared" si="3"/>
        <v>470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542</v>
      </c>
      <c r="Y13" s="1014">
        <f t="shared" si="4"/>
        <v>542</v>
      </c>
      <c r="Z13" s="1014">
        <f t="shared" si="4"/>
        <v>0</v>
      </c>
      <c r="AA13" s="1014">
        <f t="shared" si="4"/>
        <v>98</v>
      </c>
      <c r="AB13" s="1014">
        <f t="shared" si="4"/>
        <v>8172</v>
      </c>
      <c r="AC13" s="1014">
        <f t="shared" si="4"/>
        <v>119</v>
      </c>
      <c r="AD13" s="1014">
        <f t="shared" si="4"/>
        <v>0</v>
      </c>
      <c r="AE13" s="1018">
        <f t="shared" si="4"/>
        <v>0</v>
      </c>
      <c r="AF13" s="1011">
        <f t="shared" si="4"/>
        <v>0</v>
      </c>
      <c r="AG13" s="1019">
        <f t="shared" si="4"/>
        <v>0</v>
      </c>
      <c r="AH13" s="1016">
        <f t="shared" si="4"/>
        <v>0</v>
      </c>
      <c r="AI13" s="1011">
        <f t="shared" si="4"/>
        <v>629</v>
      </c>
      <c r="AJ13" s="1013">
        <f t="shared" si="4"/>
        <v>0</v>
      </c>
      <c r="AK13" s="1016">
        <f>SUBTOTAL(9,AK9:AK12)</f>
        <v>0</v>
      </c>
      <c r="AL13" s="1020">
        <f>IF(ISNUMBER(NºAsuntos!G13/NºAsuntos!E13),NºAsuntos!G13/NºAsuntos!E13," - ")</f>
        <v>0.75649516046867038</v>
      </c>
      <c r="AM13" s="1020">
        <f>IF(ISNUMBER(((NºAsuntos!I13/NºAsuntos!G13)*11)/factor_trimestre),((NºAsuntos!I13/NºAsuntos!G13)*11)/factor_trimestre," - ")</f>
        <v>13.305050505050506</v>
      </c>
      <c r="AN13" s="1021">
        <f>IF(ISNUMBER('Resol  Asuntos'!D13/NºAsuntos!G13),'Resol  Asuntos'!D13/NºAsuntos!G13," - ")</f>
        <v>0.42356902356902359</v>
      </c>
      <c r="AO13" s="1022">
        <f>IF(ISNUMBER((NºAsuntos!C13+NºAsuntos!E13)/NºAsuntos!G13),(NºAsuntos!C13+NºAsuntos!E13)/NºAsuntos!G13," - ")</f>
        <v>5.4606060606060609</v>
      </c>
      <c r="AP13" s="1023" t="str">
        <f t="shared" si="2"/>
        <v xml:space="preserve"> - </v>
      </c>
      <c r="AQ13" s="1023">
        <f>IF(ISNUMBER((H13-W13+K13)/(F13)),(H13-W13+K13)/(F13)," - ")</f>
        <v>0</v>
      </c>
      <c r="AR13" s="1024">
        <f>IF(ISNUMBER((Datos!P13-Datos!Q13)/(Datos!R13-Datos!P13+Datos!Q13)),(Datos!P13-Datos!Q13)/(Datos!R13-Datos!P13+Datos!Q13)," - ")</f>
        <v>-8.7336244541484712E-3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2652</v>
      </c>
      <c r="G15" s="342">
        <f>IF(ISNUMBER(IF(D_I="SI",Datos!I15,Datos!I15+Datos!AC15)),IF(D_I="SI",Datos!I15,Datos!I15+Datos!AC15)," - ")</f>
        <v>2652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23</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1296</v>
      </c>
      <c r="X15" s="230">
        <f>IF(ISNUMBER(Datos!Q15),Datos!Q15," - ")</f>
        <v>12</v>
      </c>
      <c r="Y15" s="343">
        <f>SUM(W15)</f>
        <v>1296</v>
      </c>
      <c r="Z15" s="344" t="str">
        <f>IF(ISNUMBER(Datos!CC15),Datos!CC15," - ")</f>
        <v xml:space="preserve"> - </v>
      </c>
      <c r="AA15" s="341">
        <f>IF(ISNUMBER(IF(D_I="SI",Datos!L15,Datos!L15+Datos!AF15)),IF(D_I="SI",Datos!L15,Datos!L15+Datos!AF15)," - ")</f>
        <v>2709</v>
      </c>
      <c r="AB15" s="343">
        <f>IF(ISNUMBER(Datos!R15),Datos!R15," - ")</f>
        <v>147</v>
      </c>
      <c r="AC15" s="343">
        <f t="shared" ref="AC15:AC17" si="6">IF(ISNUMBER(AA15+AB15),AA15+AB15," - ")</f>
        <v>2856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154</v>
      </c>
      <c r="AJ15" s="235" t="str">
        <f>IF(ISNUMBER(Datos!BW15),Datos!BW15," - ")</f>
        <v xml:space="preserve"> - </v>
      </c>
      <c r="AK15" s="236" t="str">
        <f>IF(ISNUMBER(Datos!BX15),Datos!BX15," - ")</f>
        <v xml:space="preserve"> - </v>
      </c>
      <c r="AL15" s="247">
        <f>IF(ISNUMBER(NºAsuntos!G15/NºAsuntos!E15),NºAsuntos!G15/NºAsuntos!E15," - ")</f>
        <v>0.95787139689578715</v>
      </c>
      <c r="AM15" s="264">
        <f>IF(ISNUMBER(((NºAsuntos!I15/NºAsuntos!G15)*11)/factor_trimestre),((NºAsuntos!I15/NºAsuntos!G15)*11)/factor_trimestre," - ")</f>
        <v>6.270833333333333</v>
      </c>
      <c r="AN15" s="248">
        <f>IF(ISNUMBER('Resol  Asuntos'!D15/NºAsuntos!G15),'Resol  Asuntos'!D15/NºAsuntos!G15," - ")</f>
        <v>0.11882716049382716</v>
      </c>
      <c r="AO15" s="249">
        <f>IF(ISNUMBER((NºAsuntos!C15+NºAsuntos!E15)/NºAsuntos!G15),(NºAsuntos!C15+NºAsuntos!E15)/NºAsuntos!G15," - ")</f>
        <v>3.0902777777777777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377</v>
      </c>
      <c r="G16" s="342">
        <f>IF(ISNUMBER(IF(D_I="SI",Datos!I16,Datos!I16+Datos!AC16)),IF(D_I="SI",Datos!I16,Datos!I16+Datos!AC16)," - ")</f>
        <v>368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72</v>
      </c>
      <c r="X16" s="230">
        <f>IF(ISNUMBER(Datos!Q16),Datos!Q16," - ")</f>
        <v>10</v>
      </c>
      <c r="Y16" s="343">
        <f t="shared" ref="Y16:Y17" si="7">SUM(W16:X16)</f>
        <v>82</v>
      </c>
      <c r="Z16" s="344" t="str">
        <f>IF(ISNUMBER(Datos!CC16),Datos!CC16," - ")</f>
        <v xml:space="preserve"> - </v>
      </c>
      <c r="AA16" s="341">
        <f>IF(ISNUMBER(IF(D_I="SI",Datos!L16,Datos!L16+Datos!AF16)),IF(D_I="SI",Datos!L16,Datos!L16+Datos!AF16)," - ")</f>
        <v>314</v>
      </c>
      <c r="AB16" s="343">
        <f>IF(ISNUMBER(Datos!R16),Datos!R16," - ")</f>
        <v>162</v>
      </c>
      <c r="AC16" s="343">
        <f t="shared" si="6"/>
        <v>476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v>
      </c>
      <c r="AJ16" s="235" t="str">
        <f>IF(ISNUMBER(Datos!BW16),Datos!BW16," - ")</f>
        <v xml:space="preserve"> - </v>
      </c>
      <c r="AK16" s="236" t="str">
        <f>IF(ISNUMBER(Datos!BX16),Datos!BX16," - ")</f>
        <v xml:space="preserve"> - </v>
      </c>
      <c r="AL16" s="247">
        <f>IF(ISNUMBER(NºAsuntos!G16/NºAsuntos!E16),NºAsuntos!G16/NºAsuntos!E16," - ")</f>
        <v>8</v>
      </c>
      <c r="AM16" s="264">
        <f>IF(ISNUMBER(((NºAsuntos!I16/NºAsuntos!G16)*11)/factor_trimestre),((NºAsuntos!I16/NºAsuntos!G16)*11)/factor_trimestre," - ")</f>
        <v>13.083333333333332</v>
      </c>
      <c r="AN16" s="248">
        <f>IF(ISNUMBER('Resol  Asuntos'!D16/NºAsuntos!G16),'Resol  Asuntos'!D16/NºAsuntos!G16," - ")</f>
        <v>9.7222222222222224E-2</v>
      </c>
      <c r="AO16" s="249">
        <f>IF(ISNUMBER((NºAsuntos!C16+NºAsuntos!E16)/NºAsuntos!G16),(NºAsuntos!C16+NºAsuntos!E16)/NºAsuntos!G16," - ")</f>
        <v>5.2361111111111107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80</v>
      </c>
      <c r="X17" s="230">
        <f>IF(ISNUMBER(Datos!Q17),Datos!Q17," - ")</f>
        <v>0</v>
      </c>
      <c r="Y17" s="343">
        <f t="shared" si="7"/>
        <v>80</v>
      </c>
      <c r="Z17" s="344" t="str">
        <f>IF(ISNUMBER(Datos!CC17),Datos!CC17," - ")</f>
        <v xml:space="preserve"> - </v>
      </c>
      <c r="AA17" s="341">
        <f>IF(ISNUMBER(Datos!L17),Datos!L17,"-")</f>
        <v>116</v>
      </c>
      <c r="AB17" s="343">
        <f>IF(ISNUMBER(Datos!R17),Datos!R17," - ")</f>
        <v>7</v>
      </c>
      <c r="AC17" s="343">
        <f t="shared" si="6"/>
        <v>123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0.7407407407407407</v>
      </c>
      <c r="AM17" s="264">
        <f>IF(ISNUMBER(((NºAsuntos!I17/NºAsuntos!G17)*11)/factor_trimestre),((NºAsuntos!I17/NºAsuntos!G17)*11)/factor_trimestre," - ")</f>
        <v>4.3499999999999996</v>
      </c>
      <c r="AN17" s="248">
        <f>IF(ISNUMBER('Resol  Asuntos'!D17/NºAsuntos!G17),'Resol  Asuntos'!D17/NºAsuntos!G17," - ")</f>
        <v>0.22500000000000001</v>
      </c>
      <c r="AO17" s="249">
        <f>IF(ISNUMBER((NºAsuntos!C17+NºAsuntos!E17)/NºAsuntos!G17),(NºAsuntos!C17+NºAsuntos!E17)/NºAsuntos!G17," - ")</f>
        <v>2.4500000000000002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3029</v>
      </c>
      <c r="G18" s="1012">
        <f>SUBTOTAL(9,G15:G17)</f>
        <v>3108</v>
      </c>
      <c r="H18" s="1011">
        <f t="shared" ref="H18:O18" si="10">SUBTOTAL(9,H14:H17)</f>
        <v>0</v>
      </c>
      <c r="I18" s="1013">
        <f t="shared" si="10"/>
        <v>0</v>
      </c>
      <c r="J18" s="1013">
        <f t="shared" si="10"/>
        <v>0</v>
      </c>
      <c r="K18" s="1013">
        <f t="shared" si="10"/>
        <v>0</v>
      </c>
      <c r="L18" s="1013">
        <f t="shared" si="10"/>
        <v>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1448</v>
      </c>
      <c r="X18" s="1013">
        <f t="shared" si="11"/>
        <v>22</v>
      </c>
      <c r="Y18" s="1014">
        <f t="shared" si="11"/>
        <v>1458</v>
      </c>
      <c r="Z18" s="1014">
        <f t="shared" si="11"/>
        <v>0</v>
      </c>
      <c r="AA18" s="1014">
        <f t="shared" si="11"/>
        <v>3139</v>
      </c>
      <c r="AB18" s="1014">
        <f t="shared" si="11"/>
        <v>316</v>
      </c>
      <c r="AC18" s="1014">
        <f t="shared" si="11"/>
        <v>3455</v>
      </c>
      <c r="AD18" s="1014">
        <f t="shared" si="11"/>
        <v>0</v>
      </c>
      <c r="AE18" s="1018">
        <f t="shared" si="11"/>
        <v>0</v>
      </c>
      <c r="AF18" s="1011">
        <f t="shared" si="11"/>
        <v>0</v>
      </c>
      <c r="AG18" s="1019">
        <f t="shared" si="11"/>
        <v>0</v>
      </c>
      <c r="AH18" s="1016">
        <f t="shared" si="11"/>
        <v>0</v>
      </c>
      <c r="AI18" s="1011">
        <f t="shared" si="11"/>
        <v>179</v>
      </c>
      <c r="AJ18" s="1013">
        <f t="shared" si="11"/>
        <v>0</v>
      </c>
      <c r="AK18" s="1016">
        <f t="shared" si="11"/>
        <v>0</v>
      </c>
      <c r="AL18" s="1020">
        <f>IF(ISNUMBER(NºAsuntos!G18/NºAsuntos!E18),NºAsuntos!G18/NºAsuntos!E18," - ")</f>
        <v>0.98503401360544218</v>
      </c>
      <c r="AM18" s="1020">
        <f>IF(ISNUMBER(((NºAsuntos!I18/NºAsuntos!G18)*11)/factor_trimestre),((NºAsuntos!I18/NºAsuntos!G18)*11)/factor_trimestre," - ")</f>
        <v>6.5034530386740332</v>
      </c>
      <c r="AN18" s="1021">
        <f>IF(ISNUMBER('Resol  Asuntos'!D18/NºAsuntos!G18),'Resol  Asuntos'!D18/NºAsuntos!G18," - ")</f>
        <v>0.12361878453038674</v>
      </c>
      <c r="AO18" s="1022">
        <f>IF(ISNUMBER((NºAsuntos!C18+NºAsuntos!E18)/NºAsuntos!G18),(NºAsuntos!C18+NºAsuntos!E18)/NºAsuntos!G18," - ")</f>
        <v>3.1616022099447512</v>
      </c>
      <c r="AP18" s="1023" t="str">
        <f t="shared" si="2"/>
        <v xml:space="preserve"> - </v>
      </c>
      <c r="AQ18" s="1023">
        <f>IF(ISNUMBER((H18-W18+K18)/(F18)),(H18-W18+K18)/(F18)," - ")</f>
        <v>-0.47804555959062395</v>
      </c>
      <c r="AR18" s="1024">
        <f>IF(ISNUMBER((Datos!P18-Datos!Q18)/(Datos!R18-Datos!P18+Datos!Q18)),(Datos!P18-Datos!Q18)/(Datos!R18-Datos!P18+Datos!Q18)," - ")</f>
        <v>1.282051282051282E-2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3121</v>
      </c>
      <c r="G19" s="967">
        <f t="shared" si="13"/>
        <v>3200</v>
      </c>
      <c r="H19" s="966">
        <f t="shared" si="13"/>
        <v>0</v>
      </c>
      <c r="I19" s="968">
        <f t="shared" si="13"/>
        <v>0</v>
      </c>
      <c r="J19" s="968">
        <f t="shared" si="13"/>
        <v>0</v>
      </c>
      <c r="K19" s="1027">
        <f t="shared" si="13"/>
        <v>0</v>
      </c>
      <c r="L19" s="968">
        <f t="shared" si="13"/>
        <v>496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1448</v>
      </c>
      <c r="X19" s="967">
        <f t="shared" si="14"/>
        <v>564</v>
      </c>
      <c r="Y19" s="974">
        <f t="shared" si="14"/>
        <v>2000</v>
      </c>
      <c r="Z19" s="974">
        <f t="shared" si="14"/>
        <v>0</v>
      </c>
      <c r="AA19" s="974">
        <f t="shared" si="14"/>
        <v>3237</v>
      </c>
      <c r="AB19" s="974">
        <f t="shared" si="14"/>
        <v>8488</v>
      </c>
      <c r="AC19" s="974">
        <f t="shared" si="14"/>
        <v>3574</v>
      </c>
      <c r="AD19" s="974">
        <f t="shared" si="14"/>
        <v>0</v>
      </c>
      <c r="AE19" s="976">
        <f t="shared" si="14"/>
        <v>0</v>
      </c>
      <c r="AF19" s="977">
        <f t="shared" si="14"/>
        <v>0</v>
      </c>
      <c r="AG19" s="978">
        <f t="shared" si="14"/>
        <v>0</v>
      </c>
      <c r="AH19" s="976">
        <f t="shared" si="14"/>
        <v>0</v>
      </c>
      <c r="AI19" s="966">
        <f t="shared" si="14"/>
        <v>808</v>
      </c>
      <c r="AJ19" s="966">
        <f t="shared" si="14"/>
        <v>0</v>
      </c>
      <c r="AK19" s="976">
        <f t="shared" si="14"/>
        <v>0</v>
      </c>
      <c r="AL19" s="1030">
        <f>IF(ISNUMBER(NºAsuntos!G19/NºAsuntos!E19),NºAsuntos!G19/NºAsuntos!E19," - ")</f>
        <v>0.85435479172735218</v>
      </c>
      <c r="AM19" s="1031">
        <f>IF(ISNUMBER(((NºAsuntos!I19/NºAsuntos!G19)*11)/factor_trimestre),((NºAsuntos!I19/NºAsuntos!G19)*11)/factor_trimestre," - ")</f>
        <v>9.9471530855779076</v>
      </c>
      <c r="AN19" s="1031">
        <f>IF(ISNUMBER('Resol  Asuntos'!D19/NºAsuntos!G19),'Resol  Asuntos'!D19/NºAsuntos!G19," - ")</f>
        <v>0.27548585066484826</v>
      </c>
      <c r="AO19" s="1032">
        <f>IF(ISNUMBER((NºAsuntos!C19+NºAsuntos!E19)/NºAsuntos!G19),(NºAsuntos!C19+NºAsuntos!E19)/NºAsuntos!G19," - ")</f>
        <v>4.3256051824070916</v>
      </c>
      <c r="AP19" s="1033" t="str">
        <f t="shared" si="2"/>
        <v xml:space="preserve"> - </v>
      </c>
      <c r="AQ19" s="1034">
        <f>IF(OR(ISNUMBER(FIND("01",Criterios!A8,1)),ISNUMBER(FIND("02",Criterios!A8,1)),ISNUMBER(FIND("03",Criterios!A8,1)),ISNUMBER(FIND("04",Criterios!A8,1))),(I19-W19+K19)/(F19-K19),(H19-W19+K19)/(F19-K19))</f>
        <v>-0.46395386094200575</v>
      </c>
      <c r="AR19" s="1035">
        <f>IF(ISNUMBER((Datos!P19-Datos!Q19)/(Datos!R19-Datos!P19+Datos!Q19)),(Datos!P19-Datos!Q19)/(Datos!R19-Datos!P19+Datos!Q19)," - ")</f>
        <v>-7.9476390836839637E-3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1066.6666666666667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2.2236106773543889</v>
      </c>
      <c r="F21" s="256">
        <f>IF(ISNUMBER(STDEV(F8:F18)),STDEV(F8:F18),"-")</f>
        <v>1464.111437015639</v>
      </c>
      <c r="G21" s="257">
        <f>IF(ISNUMBER(STDEV(G8:G18)),STDEV(G8:G18),"-")</f>
        <v>1416.0647819456094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691.390097316028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263.23265103597726</v>
      </c>
      <c r="AJ21" s="256">
        <f t="shared" si="18"/>
        <v>0</v>
      </c>
      <c r="AK21" s="258">
        <f t="shared" si="18"/>
        <v>0</v>
      </c>
      <c r="AL21" s="253">
        <f t="shared" si="18"/>
        <v>2.5795896621078076</v>
      </c>
      <c r="AM21" s="254">
        <f t="shared" si="18"/>
        <v>5.3130792589456854</v>
      </c>
      <c r="AN21" s="254">
        <f t="shared" si="18"/>
        <v>0.14327795228874068</v>
      </c>
      <c r="AO21" s="255">
        <f t="shared" si="18"/>
        <v>1.7672653750080018</v>
      </c>
      <c r="AP21" s="295" t="str">
        <f t="shared" si="18"/>
        <v>-</v>
      </c>
      <c r="AQ21" s="296">
        <f t="shared" si="18"/>
        <v>0.33802925690264801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GjEgkyUzlSImcFllR6da4lU/4Cvu21ruwE1Y7oZta3OMR8SNk5zOyi+yj74RMPE61wSxU64yV+1kQ/pPTDwjHw==" saltValue="2T5wo/cMDVFTfIWys8mK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TOLEDO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-4.9206349206349205E-2</v>
      </c>
      <c r="I9" s="359">
        <f>IF(ISNUMBER((Tasas!C9-Datos!BE9)/Datos!BE9),(Tasas!C9-Datos!BE9)/Datos!BE9," - ")</f>
        <v>0.4161450299381334</v>
      </c>
      <c r="J9" s="358">
        <f>IF(ISNUMBER((Tasas!D9-Datos!BF9)/Datos!BF9),(Tasas!D9-Datos!BF9)/Datos!BF9," - ")</f>
        <v>0.29564936546456055</v>
      </c>
      <c r="K9" s="360">
        <f>IF(ISNUMBER((Tasas!E9-Datos!BG9)/Datos!BG9),(Tasas!E9-Datos!BG9)/Datos!BG9," - ")</f>
        <v>0.31846122896036844</v>
      </c>
      <c r="M9" t="e">
        <f>IF(Monitorios="SI",Datos!CE9,0)</f>
        <v>#REF!</v>
      </c>
      <c r="N9" t="e">
        <f>IF(Monitorios="SI",Datos!CF9,0)</f>
        <v>#REF!</v>
      </c>
      <c r="O9" t="e">
        <f>IF(Monitorios="SI",Datos!CG9,0)</f>
        <v>#REF!</v>
      </c>
      <c r="P9" t="e">
        <f>IF(Monitorios="SI",Datos!CH9,0)</f>
        <v>#REF!</v>
      </c>
      <c r="Q9">
        <f>IF(J_V="SI",0,Datos!AG9)</f>
        <v>207</v>
      </c>
      <c r="R9">
        <f>IF(J_V="SI",0,Datos!AH9)</f>
        <v>136</v>
      </c>
      <c r="S9">
        <f>IF(J_V="SI",0,Datos!AI9)</f>
        <v>82</v>
      </c>
      <c r="T9">
        <f>IF(J_V="SI",0,Datos!AJ9)</f>
        <v>261</v>
      </c>
    </row>
    <row r="10" spans="2:20" ht="14.25">
      <c r="B10" s="279" t="s">
        <v>249</v>
      </c>
      <c r="C10" s="7" t="str">
        <f>Datos!A10</f>
        <v>Jdos. Violencia contra la mujer</v>
      </c>
      <c r="D10" s="361">
        <f>IF(ISNUMBER((Datos!I10-Datos!S10)/Datos!S10),(Datos!I10-Datos!S10)/Datos!S10," - ")</f>
        <v>0</v>
      </c>
      <c r="E10" s="357">
        <f>IF(ISNUMBER((Datos!J10-Datos!T10)/Datos!T10),(Datos!J10-Datos!T10)/Datos!T10," - ")</f>
        <v>-0.76923076923076927</v>
      </c>
      <c r="F10" s="357">
        <f>IF(ISNUMBER((Datos!K10-Datos!U10)/Datos!U10),(Datos!K10-Datos!U10)/Datos!U10," - ")</f>
        <v>-1</v>
      </c>
      <c r="G10" s="358">
        <f>IF(ISNUMBER((Datos!L10-Datos!V10)/Datos!V10),(Datos!L10-Datos!V10)/Datos!V10," - ")</f>
        <v>-4.8543689320388349E-2</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-0.44444444444444442</v>
      </c>
      <c r="I12" s="359">
        <f>IF(ISNUMBER((Tasas!C12-Datos!BE12)/Datos!BE12),(Tasas!C12-Datos!BE12)/Datos!BE12," - ")</f>
        <v>0.31722766737603536</v>
      </c>
      <c r="J12" s="358">
        <f>IF(ISNUMBER((Tasas!D12-Datos!BF12)/Datos!BF12),(Tasas!D12-Datos!BF12)/Datos!BF12," - ")</f>
        <v>-0.20981971614883005</v>
      </c>
      <c r="K12" s="360">
        <f>IF(ISNUMBER((Tasas!E12-Datos!BG12)/Datos!BG12),(Tasas!E12-Datos!BG12)/Datos!BG12," - ")</f>
        <v>0.26561084091948284</v>
      </c>
      <c r="M12" t="e">
        <f>IF(Monitorios="SI",Datos!CE12,0)</f>
        <v>#REF!</v>
      </c>
      <c r="N12" t="e">
        <f>IF(Monitorios="SI",Datos!CF12,0)</f>
        <v>#REF!</v>
      </c>
      <c r="O12" t="e">
        <f>IF(Monitorios="SI",Datos!CG12,0)</f>
        <v>#REF!</v>
      </c>
      <c r="P12" t="e">
        <f>IF(Monitorios="SI",Datos!CH12,0)</f>
        <v>#REF!</v>
      </c>
      <c r="Q12">
        <f>IF(J_V="SI",0,Datos!AG12)</f>
        <v>55</v>
      </c>
      <c r="R12">
        <f>IF(J_V="SI",0,Datos!AH12)</f>
        <v>19</v>
      </c>
      <c r="S12">
        <f>IF(J_V="SI",0,Datos!AI12)</f>
        <v>31</v>
      </c>
      <c r="T12">
        <f>IF(J_V="SI",0,Datos!AJ12)</f>
        <v>43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-8.7082728592162553E-2</v>
      </c>
      <c r="I13" s="366">
        <f>IF(ISNUMBER((Tasas!C13-Datos!BE13)/Datos!BE13),(Tasas!C13-Datos!BE13)/Datos!BE13," - ")</f>
        <v>0.36443325396473275</v>
      </c>
      <c r="J13" s="364">
        <f>IF(ISNUMBER((Tasas!D13-Datos!BF13)/Datos!BF13),(Tasas!D13-Datos!BF13)/Datos!BF13," - ")</f>
        <v>0.24696940213577703</v>
      </c>
      <c r="K13" s="367">
        <f>IF(ISNUMBER((Tasas!E13-Datos!BG13)/Datos!BG13),(Tasas!E13-Datos!BG13)/Datos!BG13," - ")</f>
        <v>0.2850733288364537</v>
      </c>
      <c r="M13" t="e">
        <f>IF(Monitorios="SI",Datos!CE13,0)</f>
        <v>#REF!</v>
      </c>
      <c r="N13" t="e">
        <f>IF(Monitorios="SI",Datos!CF13,0)</f>
        <v>#REF!</v>
      </c>
      <c r="O13" t="e">
        <f>IF(Monitorios="SI",Datos!CG13,0)</f>
        <v>#REF!</v>
      </c>
      <c r="P13" t="e">
        <f>IF(Monitorios="SI",Datos!CH13,0)</f>
        <v>#REF!</v>
      </c>
      <c r="Q13">
        <f>IF(J_V="SI",0,Datos!AG13)</f>
        <v>262</v>
      </c>
      <c r="R13">
        <f>IF(J_V="SI",0,Datos!AH13)</f>
        <v>155</v>
      </c>
      <c r="S13">
        <f>IF(J_V="SI",0,Datos!AI13)</f>
        <v>113</v>
      </c>
      <c r="T13">
        <f>IF(J_V="SI",0,Datos!AJ13)</f>
        <v>304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0.94713656387665202</v>
      </c>
      <c r="E15" s="357">
        <f>IF(ISNUMBER(
   IF(D_I="SI",(Datos!J15-Datos!T15)/Datos!T15,(Datos!J15+Datos!AD15-(Datos!T15+Datos!AL15))/(Datos!T15+Datos!AL15))
     ),IF(D_I="SI",(Datos!J15-Datos!T15)/Datos!T15,(Datos!J15+Datos!AD15-(Datos!T15+Datos!AL15))/(Datos!T15+Datos!AL15))," - ")</f>
        <v>0.13032581453634084</v>
      </c>
      <c r="F15" s="357">
        <f>IF(ISNUMBER(
   IF(D_I="SI",(Datos!K15-Datos!U15)/Datos!U15,(Datos!K15+Datos!AE15-(Datos!U15+Datos!AM15))/(Datos!U15+Datos!AM15))
     ),IF(D_I="SI",(Datos!K15-Datos!U15)/Datos!U15,(Datos!K15+Datos!AE15-(Datos!U15+Datos!AM15))/(Datos!U15+Datos!AM15))," - ")</f>
        <v>0.49480968858131485</v>
      </c>
      <c r="G15" s="358">
        <f>IF(ISNUMBER(
   IF(D_I="SI",(Datos!L15-Datos!V15)/Datos!V15,(Datos!L15+Datos!AF15-(Datos!V15+Datos!AN15))/(Datos!V15+Datos!AN15))
     ),IF(D_I="SI",(Datos!L15-Datos!V15)/Datos!V15,(Datos!L15+Datos!AF15-(Datos!V15+Datos!AN15))/(Datos!V15+Datos!AN15))," - ")</f>
        <v>0.57775189283634243</v>
      </c>
      <c r="H15" s="234">
        <f>IF(ISNUMBER((Datos!M15-Datos!W15)/Datos!W15),(Datos!M15-Datos!W15)/Datos!W15," - ")</f>
        <v>0.31623931623931623</v>
      </c>
      <c r="I15" s="359">
        <f>IF(ISNUMBER((Tasas!C15-Datos!BE15)/Datos!BE15),(Tasas!C15-Datos!BE15)/Datos!BE15," - ")</f>
        <v>5.5486798679867902E-2</v>
      </c>
      <c r="J15" s="358">
        <f>IF(ISNUMBER((Tasas!D15-Datos!BF15)/Datos!BF15),(Tasas!D15-Datos!BF15)/Datos!BF15," - ")</f>
        <v>-0.1194602722380501</v>
      </c>
      <c r="K15" s="360">
        <f>IF(ISNUMBER((Tasas!E15-Datos!BG15)/Datos!BG15),(Tasas!E15-Datos!BG15)/Datos!BG15," - ")</f>
        <v>4.6999153315096957E-2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-0.58181818181818179</v>
      </c>
      <c r="E16" s="357">
        <f>IF(ISNUMBER(
   IF(D_I="SI",(Datos!J16-Datos!T16)/Datos!T16,(Datos!J16+Datos!AD16-(Datos!T16+Datos!AL16))/(Datos!T16+Datos!AL16))
     ),IF(D_I="SI",(Datos!J16-Datos!T16)/Datos!T16,(Datos!J16+Datos!AD16-(Datos!T16+Datos!AL16))/(Datos!T16+Datos!AL16))," - ")</f>
        <v>-0.92800000000000005</v>
      </c>
      <c r="F16" s="357">
        <f>IF(ISNUMBER(
   IF(D_I="SI",(Datos!K16-Datos!U16)/Datos!U16,(Datos!K16+Datos!AE16-(Datos!U16+Datos!AM16))/(Datos!U16+Datos!AM16))
     ),IF(D_I="SI",(Datos!K16-Datos!U16)/Datos!U16,(Datos!K16+Datos!AE16-(Datos!U16+Datos!AM16))/(Datos!U16+Datos!AM16))," - ")</f>
        <v>-0.67272727272727273</v>
      </c>
      <c r="G16" s="358">
        <f>IF(ISNUMBER(
   IF(D_I="SI",(Datos!L16-Datos!V16)/Datos!V16,(Datos!L16+Datos!AF16-(Datos!V16+Datos!AN16))/(Datos!V16+Datos!AN16))
     ),IF(D_I="SI",(Datos!L16-Datos!V16)/Datos!V16,(Datos!L16+Datos!AF16-(Datos!V16+Datos!AN16))/(Datos!V16+Datos!AN16))," - ")</f>
        <v>-0.60050890585241734</v>
      </c>
      <c r="H16" s="234">
        <f>IF(ISNUMBER((Datos!M16-Datos!W16)/Datos!W16),(Datos!M16-Datos!W16)/Datos!W16," - ")</f>
        <v>-0.66666666666666663</v>
      </c>
      <c r="I16" s="359">
        <f>IF(ISNUMBER((Tasas!C16-Datos!BE16)/Datos!BE16),(Tasas!C16-Datos!BE16)/Datos!BE16," - ")</f>
        <v>0.22066723211761369</v>
      </c>
      <c r="J16" s="358">
        <f>IF(ISNUMBER((Tasas!D16-Datos!BF16)/Datos!BF16),(Tasas!D16-Datos!BF16)/Datos!BF16," - ")</f>
        <v>1.8518518518518493E-2</v>
      </c>
      <c r="K16" s="360">
        <f>IF(ISNUMBER((Tasas!E16-Datos!BG16)/Datos!BG16),(Tasas!E16-Datos!BG16)/Datos!BG16," - ")</f>
        <v>0.146213377556661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0.69230769230769229</v>
      </c>
      <c r="E17" s="357">
        <f>IF(ISNUMBER(
   IF(D_I="SI",(Datos!J17-Datos!T17)/Datos!T17,(Datos!J17+Datos!AD17-(Datos!T17+Datos!AL17))/(Datos!T17+Datos!AL17))
     ),IF(D_I="SI",(Datos!J17-Datos!T17)/Datos!T17,(Datos!J17+Datos!AD17-(Datos!T17+Datos!AL17))/(Datos!T17+Datos!AL17))," - ")</f>
        <v>-0.3032258064516129</v>
      </c>
      <c r="F17" s="357">
        <f>IF(ISNUMBER(
   IF(D_I="SI",(Datos!K17-Datos!U17)/Datos!U17,(Datos!K17+Datos!AE17-(Datos!U17+Datos!AM17))/(Datos!U17+Datos!AM17))
     ),IF(D_I="SI",(Datos!K17-Datos!U17)/Datos!U17,(Datos!K17+Datos!AE17-(Datos!U17+Datos!AM17))/(Datos!U17+Datos!AM17))," - ")</f>
        <v>-0.42857142857142855</v>
      </c>
      <c r="G17" s="358">
        <f>IF(ISNUMBER(
   IF(D_I="SI",(Datos!L17-Datos!V17)/Datos!V17,(Datos!L17+Datos!AF17-(Datos!V17+Datos!AN17))/(Datos!V17+Datos!AN17))
     ),IF(D_I="SI",(Datos!L17-Datos!V17)/Datos!V17,(Datos!L17+Datos!AF17-(Datos!V17+Datos!AN17))/(Datos!V17+Datos!AN17))," - ")</f>
        <v>0.73134328358208955</v>
      </c>
      <c r="H17" s="234">
        <f>IF(ISNUMBER((Datos!M17-Datos!W17)/Datos!W17),(Datos!M17-Datos!W17)/Datos!W17," - ")</f>
        <v>-0.33333333333333331</v>
      </c>
      <c r="I17" s="359">
        <f>IF(ISNUMBER((Tasas!C17-Datos!BE17)/Datos!BE17),(Tasas!C17-Datos!BE17)/Datos!BE17," - ")</f>
        <v>2.0298507462686564</v>
      </c>
      <c r="J17" s="358">
        <f>IF(ISNUMBER((Tasas!D17-Datos!BF17)/Datos!BF17),(Tasas!D17-Datos!BF17)/Datos!BF17," - ")</f>
        <v>0.16666666666666663</v>
      </c>
      <c r="K17" s="360">
        <f>IF(ISNUMBER((Tasas!E17-Datos!BG17)/Datos!BG17),(Tasas!E17-Datos!BG17)/Datos!BG17," - ")</f>
        <v>0.65700483091787443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0.35483870967741937</v>
      </c>
      <c r="E18" s="363">
        <f>IF(ISNUMBER(
   IF(D_I="SI",(Datos!J18-Datos!T18)/Datos!T18,(Datos!J18+Datos!AD18-(Datos!T18+Datos!AL18))/(Datos!T18+Datos!AL18))
     ),IF(D_I="SI",(Datos!J18-Datos!T18)/Datos!T18,(Datos!J18+Datos!AD18-(Datos!T18+Datos!AL18))/(Datos!T18+Datos!AL18))," - ")</f>
        <v>-4.7393364928909956E-3</v>
      </c>
      <c r="F18" s="363">
        <f>IF(ISNUMBER(
   IF(D_I="SI",(Datos!K18-Datos!U18)/Datos!U18,(Datos!K18+Datos!AE18-(Datos!U18+Datos!AM18))/(Datos!U18+Datos!AM18))
     ),IF(D_I="SI",(Datos!K18-Datos!U18)/Datos!U18,(Datos!K18+Datos!AE18-(Datos!U18+Datos!AM18))/(Datos!U18+Datos!AM18))," - ")</f>
        <v>0.18011409942950285</v>
      </c>
      <c r="G18" s="364">
        <f>IF(ISNUMBER(
   IF(D_I="SI",(Datos!L18-Datos!V18)/Datos!V18,(Datos!L18+Datos!AF18-(Datos!V18+Datos!AN18))/(Datos!V18+Datos!AN18))
     ),IF(D_I="SI",(Datos!L18-Datos!V18)/Datos!V18,(Datos!L18+Datos!AF18-(Datos!V18+Datos!AN18))/(Datos!V18+Datos!AN18))," - ")</f>
        <v>0.22140077821011672</v>
      </c>
      <c r="H18" s="365">
        <f>IF(ISNUMBER((Datos!M18-Datos!W18)/Datos!W18),(Datos!M18-Datos!W18)/Datos!W18," - ")</f>
        <v>8.4848484848484854E-2</v>
      </c>
      <c r="I18" s="366">
        <f>IF(ISNUMBER((Tasas!C18-Datos!BE18)/Datos!BE18),(Tasas!C18-Datos!BE18)/Datos!BE18," - ")</f>
        <v>3.4985327944622308E-2</v>
      </c>
      <c r="J18" s="364">
        <f>IF(ISNUMBER((Tasas!D18-Datos!BF18)/Datos!BF18),(Tasas!D18-Datos!BF18)/Datos!BF18," - ")</f>
        <v>-8.0725765946760453E-2</v>
      </c>
      <c r="K18" s="367">
        <f>IF(ISNUMBER((Tasas!E18-Datos!BG18)/Datos!BG18),(Tasas!E18-Datos!BG18)/Datos!BG18," - ")</f>
        <v>2.8715436648689991E-2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0.22667020148462355</v>
      </c>
      <c r="E19" s="372">
        <f>IF(ISNUMBER(
   IF(J_V="SI",(Datos!J19-Datos!T19)/Datos!T19,(Datos!J19+Datos!Z19-(Datos!T19+Datos!AH19))/(Datos!T19+Datos!AH19))
     ),IF(J_V="SI",(Datos!J19-Datos!T19)/Datos!T19,(Datos!J19+Datos!Z19-(Datos!T19+Datos!AH19))/(Datos!T19+Datos!AH19))," - ")</f>
        <v>1.8694362017804153E-2</v>
      </c>
      <c r="F19" s="372">
        <f>IF(ISNUMBER(
   IF(J_V="SI",(Datos!K19-Datos!U19)/Datos!U19,(Datos!K19+Datos!AA19-(Datos!U19+Datos!AI19))/(Datos!U19+Datos!AI19))
     ),IF(J_V="SI",(Datos!K19-Datos!U19)/Datos!U19,(Datos!K19+Datos!AA19-(Datos!U19+Datos!AI19))/(Datos!U19+Datos!AI19))," - ")</f>
        <v>8.5969738651994494E-3</v>
      </c>
      <c r="G19" s="373">
        <f>IF(ISNUMBER(
   IF(J_V="SI",(Datos!L19-Datos!V19)/Datos!V19,(Datos!L19+Datos!AB19-(Datos!V19+Datos!AJ19))/(Datos!V19+Datos!AJ19))
     ),IF(J_V="SI",(Datos!L19-Datos!V19)/Datos!V19,(Datos!L19+Datos!AB19-(Datos!V19+Datos!AJ19))/(Datos!V19+Datos!AJ19))," - ")</f>
        <v>0.21048045805327359</v>
      </c>
      <c r="H19" s="374">
        <f>IF(ISNUMBER((Datos!M19-Datos!W19)/Datos!W19),(Datos!M19-Datos!W19)/Datos!W19," - ")</f>
        <v>-5.3864168618266976E-2</v>
      </c>
      <c r="I19" s="371">
        <f>IF(ISNUMBER((Tasas!C19-Datos!BE19)/Datos!BE19),(Tasas!C19-Datos!BE19)/Datos!BE19," - ")</f>
        <v>0.20016269076676441</v>
      </c>
      <c r="J19" s="372">
        <f>IF(ISNUMBER((Tasas!D19-Datos!BF19)/Datos!BF19),(Tasas!D19-Datos!BF19)/Datos!BF19," - ")</f>
        <v>8.846855126817757E-2</v>
      </c>
      <c r="K19" s="373">
        <f>IF(ISNUMBER((Tasas!E19-Datos!BG19)/Datos!BG19),(Tasas!E19-Datos!BG19)/Datos!BG19," - ")</f>
        <v>0.15254351021072218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0.60036846286417478</v>
      </c>
      <c r="E21" s="282">
        <f t="shared" si="1"/>
        <v>0.46336421114238574</v>
      </c>
      <c r="F21" s="282">
        <f t="shared" si="1"/>
        <v>0.61371900959125103</v>
      </c>
      <c r="G21" s="283">
        <f t="shared" si="1"/>
        <v>0.53039077794203571</v>
      </c>
      <c r="H21" s="289">
        <f t="shared" si="1"/>
        <v>0.42702303768100769</v>
      </c>
      <c r="I21" s="281">
        <f t="shared" si="1"/>
        <v>0.69409189171124386</v>
      </c>
      <c r="J21" s="282">
        <f t="shared" si="1"/>
        <v>0.19446803893037717</v>
      </c>
      <c r="K21" s="283">
        <f t="shared" si="1"/>
        <v>0.21321391688617691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ii8QdSBAHJwVckOXHPJ6W8GusmT3h3KkL4W45TAl2KqKyaO/G2L612jHHTbnx37vdY0y207peg5Icz/Vz6xvg==" saltValue="9Q/jp+OLW9ys/PjzzItzE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